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560" activeTab="2"/>
  </bookViews>
  <sheets>
    <sheet name="Question 1" sheetId="3" r:id="rId1"/>
    <sheet name="Question 2" sheetId="4" r:id="rId2"/>
    <sheet name="Question 4" sheetId="6" r:id="rId3"/>
    <sheet name="Question 5" sheetId="1" r:id="rId4"/>
    <sheet name="Question 6" sheetId="2" r:id="rId5"/>
    <sheet name="Question 7" sheetId="5" r:id="rId6"/>
  </sheets>
  <calcPr calcId="124519"/>
</workbook>
</file>

<file path=xl/calcChain.xml><?xml version="1.0" encoding="utf-8"?>
<calcChain xmlns="http://schemas.openxmlformats.org/spreadsheetml/2006/main">
  <c r="C78" i="5"/>
  <c r="B82"/>
  <c r="B81"/>
  <c r="E24"/>
  <c r="D59" s="1"/>
  <c r="C11"/>
  <c r="G67" s="1"/>
  <c r="C92" s="1"/>
  <c r="D30" i="6"/>
  <c r="D32" s="1"/>
  <c r="D41" s="1"/>
  <c r="D44" s="1"/>
  <c r="D43"/>
  <c r="D42"/>
  <c r="D27"/>
  <c r="D37"/>
  <c r="D36"/>
  <c r="D35"/>
  <c r="H30"/>
  <c r="H29"/>
  <c r="H28"/>
  <c r="D31"/>
  <c r="D20"/>
  <c r="H20" s="1"/>
  <c r="C16"/>
  <c r="H26" s="1"/>
  <c r="H27" s="1"/>
  <c r="H32" s="1"/>
  <c r="F5"/>
  <c r="E5"/>
  <c r="E4"/>
  <c r="D5"/>
  <c r="D4"/>
  <c r="C6"/>
  <c r="E6" s="1"/>
  <c r="F6" s="1"/>
  <c r="F77" i="5"/>
  <c r="D77"/>
  <c r="C77"/>
  <c r="C67"/>
  <c r="D94"/>
  <c r="D92"/>
  <c r="D91"/>
  <c r="C94"/>
  <c r="C91"/>
  <c r="G77"/>
  <c r="B72"/>
  <c r="B77"/>
  <c r="C44"/>
  <c r="D44" s="1"/>
  <c r="F67"/>
  <c r="D67"/>
  <c r="B67"/>
  <c r="D60"/>
  <c r="D56"/>
  <c r="B56"/>
  <c r="D55"/>
  <c r="D57" s="1"/>
  <c r="B55"/>
  <c r="B50"/>
  <c r="B49"/>
  <c r="D49" s="1"/>
  <c r="D50"/>
  <c r="B44"/>
  <c r="B43"/>
  <c r="C9"/>
  <c r="D9"/>
  <c r="D8"/>
  <c r="D11" s="1"/>
  <c r="D7"/>
  <c r="D6"/>
  <c r="C8"/>
  <c r="C7"/>
  <c r="C6"/>
  <c r="E35"/>
  <c r="C34"/>
  <c r="E34" s="1"/>
  <c r="D32"/>
  <c r="D34" s="1"/>
  <c r="C32"/>
  <c r="D23"/>
  <c r="D21"/>
  <c r="C21"/>
  <c r="C23" s="1"/>
  <c r="E23" s="1"/>
  <c r="F10" i="4"/>
  <c r="E10"/>
  <c r="D10"/>
  <c r="G9"/>
  <c r="F9"/>
  <c r="E9"/>
  <c r="D9"/>
  <c r="G8"/>
  <c r="F8"/>
  <c r="E8"/>
  <c r="D8"/>
  <c r="G7"/>
  <c r="G12" s="1"/>
  <c r="F7"/>
  <c r="E7"/>
  <c r="D7"/>
  <c r="F6"/>
  <c r="H6" s="1"/>
  <c r="E6"/>
  <c r="E12" s="1"/>
  <c r="D6"/>
  <c r="D12" s="1"/>
  <c r="H10"/>
  <c r="H5"/>
  <c r="H4"/>
  <c r="F23" i="1"/>
  <c r="C19"/>
  <c r="D41" i="2"/>
  <c r="C41"/>
  <c r="D37"/>
  <c r="C37"/>
  <c r="D33"/>
  <c r="D34" s="1"/>
  <c r="D28"/>
  <c r="D29" s="1"/>
  <c r="C28"/>
  <c r="C29" s="1"/>
  <c r="E21"/>
  <c r="E19"/>
  <c r="E17"/>
  <c r="D18"/>
  <c r="C18"/>
  <c r="I5"/>
  <c r="I6" s="1"/>
  <c r="E32" i="3"/>
  <c r="E30"/>
  <c r="E29"/>
  <c r="E28"/>
  <c r="E25"/>
  <c r="E23"/>
  <c r="E21"/>
  <c r="F13"/>
  <c r="F11"/>
  <c r="F6"/>
  <c r="F5"/>
  <c r="C5" i="2"/>
  <c r="J5"/>
  <c r="J6" s="1"/>
  <c r="D4" s="1"/>
  <c r="F21" i="1"/>
  <c r="F19"/>
  <c r="E19"/>
  <c r="D19"/>
  <c r="E18"/>
  <c r="D18"/>
  <c r="C18"/>
  <c r="E17"/>
  <c r="D17"/>
  <c r="C17"/>
  <c r="E16"/>
  <c r="D16"/>
  <c r="C16"/>
  <c r="E15"/>
  <c r="D15"/>
  <c r="C15"/>
  <c r="F11"/>
  <c r="E11"/>
  <c r="D11"/>
  <c r="C11"/>
  <c r="E5"/>
  <c r="D5"/>
  <c r="C5"/>
  <c r="E9"/>
  <c r="D9"/>
  <c r="C9"/>
  <c r="D4"/>
  <c r="E4" s="1"/>
  <c r="E67" i="5" l="1"/>
  <c r="E77"/>
  <c r="B78" s="1"/>
  <c r="E25"/>
  <c r="C43"/>
  <c r="D43" s="1"/>
  <c r="D6" i="6"/>
  <c r="D8" s="1"/>
  <c r="C8"/>
  <c r="F4"/>
  <c r="F8" s="1"/>
  <c r="G22" s="1"/>
  <c r="C7"/>
  <c r="D51" i="5"/>
  <c r="E36"/>
  <c r="F12" i="4"/>
  <c r="H9"/>
  <c r="H7"/>
  <c r="H12" s="1"/>
  <c r="H8"/>
  <c r="C16"/>
  <c r="C15"/>
  <c r="C40" i="2"/>
  <c r="E40" s="1"/>
  <c r="D30"/>
  <c r="D40"/>
  <c r="D42" s="1"/>
  <c r="D5"/>
  <c r="D6" s="1"/>
  <c r="D10" s="1"/>
  <c r="D11" s="1"/>
  <c r="F15" i="3"/>
  <c r="B71" i="5" l="1"/>
  <c r="B68" s="1"/>
  <c r="G78"/>
  <c r="E78"/>
  <c r="D78"/>
  <c r="F78" s="1"/>
  <c r="C90"/>
  <c r="D45"/>
  <c r="G24" i="6"/>
  <c r="G23"/>
  <c r="C23"/>
  <c r="C24"/>
  <c r="E7"/>
  <c r="C10"/>
  <c r="D16" i="4"/>
  <c r="G16"/>
  <c r="E16"/>
  <c r="F16"/>
  <c r="F15"/>
  <c r="G15"/>
  <c r="G18" s="1"/>
  <c r="D15"/>
  <c r="E15"/>
  <c r="C42" i="2"/>
  <c r="E42" s="1"/>
  <c r="E44" s="1"/>
  <c r="C14"/>
  <c r="C17" s="1"/>
  <c r="C19" s="1"/>
  <c r="D14"/>
  <c r="D17" s="1"/>
  <c r="D19" s="1"/>
  <c r="C68" i="5" l="1"/>
  <c r="E68" s="1"/>
  <c r="G68"/>
  <c r="D68"/>
  <c r="F68" s="1"/>
  <c r="D93"/>
  <c r="G79"/>
  <c r="D90"/>
  <c r="E10" i="6"/>
  <c r="E8"/>
  <c r="C22" s="1"/>
  <c r="D24" s="1"/>
  <c r="D25" s="1"/>
  <c r="H24"/>
  <c r="H25" s="1"/>
  <c r="F18" i="4"/>
  <c r="F23" s="1"/>
  <c r="H16"/>
  <c r="H15"/>
  <c r="D18"/>
  <c r="D23" s="1"/>
  <c r="E18"/>
  <c r="E23" s="1"/>
  <c r="C93" i="5" l="1"/>
  <c r="C95" s="1"/>
  <c r="G69"/>
  <c r="D95"/>
  <c r="H18" i="4"/>
</calcChain>
</file>

<file path=xl/sharedStrings.xml><?xml version="1.0" encoding="utf-8"?>
<sst xmlns="http://schemas.openxmlformats.org/spreadsheetml/2006/main" count="274" uniqueCount="180">
  <si>
    <t>A</t>
  </si>
  <si>
    <t>B</t>
  </si>
  <si>
    <t>C</t>
  </si>
  <si>
    <t>SP</t>
  </si>
  <si>
    <t>VC</t>
  </si>
  <si>
    <t>CM</t>
  </si>
  <si>
    <t>Sales (Rs)</t>
  </si>
  <si>
    <t>Units</t>
  </si>
  <si>
    <t>Total CM</t>
  </si>
  <si>
    <t>Projections for 2014</t>
  </si>
  <si>
    <t>Advert Cost</t>
  </si>
  <si>
    <t>Additional Profit</t>
  </si>
  <si>
    <t>Sales</t>
  </si>
  <si>
    <t>Retail Items</t>
  </si>
  <si>
    <t>Other Items</t>
  </si>
  <si>
    <t>Question 1</t>
  </si>
  <si>
    <t>Holding Cost</t>
  </si>
  <si>
    <t>Annual Warehousing Cost</t>
  </si>
  <si>
    <t>Financing Cost</t>
  </si>
  <si>
    <t>Ordering Cost</t>
  </si>
  <si>
    <t>Inspection Charges</t>
  </si>
  <si>
    <t>Transportation</t>
  </si>
  <si>
    <t>EOQ</t>
  </si>
  <si>
    <t>Demand</t>
  </si>
  <si>
    <t>Kgs of Y</t>
  </si>
  <si>
    <t>Annual Cost</t>
  </si>
  <si>
    <t>Average Stock</t>
  </si>
  <si>
    <t>Safety Stock</t>
  </si>
  <si>
    <t>Inventory (Stocked)</t>
  </si>
  <si>
    <t>Annual Ordering Cost</t>
  </si>
  <si>
    <t>Annual Holding Cost</t>
  </si>
  <si>
    <t>Number of orders</t>
  </si>
  <si>
    <t>Per Oreder Cost</t>
  </si>
  <si>
    <t>Total Cost</t>
  </si>
  <si>
    <t>Question 6</t>
  </si>
  <si>
    <t>Sales (Ratio)</t>
  </si>
  <si>
    <t>CM ratio</t>
  </si>
  <si>
    <t>Weighted Average CM ratio</t>
  </si>
  <si>
    <t xml:space="preserve">Assuming that </t>
  </si>
  <si>
    <t>Sales price</t>
  </si>
  <si>
    <t>Old</t>
  </si>
  <si>
    <t>Increased</t>
  </si>
  <si>
    <t>Variable Cost</t>
  </si>
  <si>
    <t>WA CM for the Company</t>
  </si>
  <si>
    <t>Option 1</t>
  </si>
  <si>
    <t>Fixed Cost to be covered</t>
  </si>
  <si>
    <t xml:space="preserve">Rs </t>
  </si>
  <si>
    <t>WA CM Ratio</t>
  </si>
  <si>
    <t>BE Sales in Rupees</t>
  </si>
  <si>
    <t>Break up</t>
  </si>
  <si>
    <t>To Prove</t>
  </si>
  <si>
    <t>Sales (Break Even)</t>
  </si>
  <si>
    <t>Total</t>
  </si>
  <si>
    <t>Fixed Cost</t>
  </si>
  <si>
    <t>Profit</t>
  </si>
  <si>
    <t>Option 2</t>
  </si>
  <si>
    <t>Revised CM ration due to Commission</t>
  </si>
  <si>
    <t>Preferance for the options</t>
  </si>
  <si>
    <t>Option 1 should be opted because breakevn is reached early as compared to option two.</t>
  </si>
  <si>
    <t>New SP</t>
  </si>
  <si>
    <t>New VC</t>
  </si>
  <si>
    <t>New CM</t>
  </si>
  <si>
    <t>Increased Volume</t>
  </si>
  <si>
    <t>Revised Profit</t>
  </si>
  <si>
    <t>Question No. 5</t>
  </si>
  <si>
    <t>(Rupees in '000')</t>
  </si>
  <si>
    <t>Question 2</t>
  </si>
  <si>
    <t xml:space="preserve">Machining </t>
  </si>
  <si>
    <t>Assembly</t>
  </si>
  <si>
    <t>Finishing</t>
  </si>
  <si>
    <t>Maintenance</t>
  </si>
  <si>
    <t>Indirect Wages</t>
  </si>
  <si>
    <t>Indirect Material</t>
  </si>
  <si>
    <t>Power</t>
  </si>
  <si>
    <t>Light and Heat</t>
  </si>
  <si>
    <t>Depriciation</t>
  </si>
  <si>
    <t>Rent and Rates</t>
  </si>
  <si>
    <t>Warehousing Cost</t>
  </si>
  <si>
    <t>80% of cost</t>
  </si>
  <si>
    <t>20% of cost</t>
  </si>
  <si>
    <t>Total Overheads</t>
  </si>
  <si>
    <t>Basis</t>
  </si>
  <si>
    <t>Hourly rate</t>
  </si>
  <si>
    <t>Reallocation</t>
  </si>
  <si>
    <t>Specific</t>
  </si>
  <si>
    <t>Machine Hours</t>
  </si>
  <si>
    <t>Book Value of Fixed Assets</t>
  </si>
  <si>
    <t>Area Occupied</t>
  </si>
  <si>
    <t>Direct Materials</t>
  </si>
  <si>
    <t>Denomination</t>
  </si>
  <si>
    <t>Labour Hours</t>
  </si>
  <si>
    <t>Question 7</t>
  </si>
  <si>
    <t>Checking for limiting factors</t>
  </si>
  <si>
    <t>Raw Material B</t>
  </si>
  <si>
    <t>Export sales</t>
  </si>
  <si>
    <t>Local Sales</t>
  </si>
  <si>
    <t>Per unit matr required</t>
  </si>
  <si>
    <t>Required for</t>
  </si>
  <si>
    <t>C031</t>
  </si>
  <si>
    <t>D032</t>
  </si>
  <si>
    <t>Total Material Reqquired</t>
  </si>
  <si>
    <t>Total Material Available</t>
  </si>
  <si>
    <t>Shortage</t>
  </si>
  <si>
    <t>Skilled Labour Hours</t>
  </si>
  <si>
    <t>Export Order Fulfilling</t>
  </si>
  <si>
    <t>CM for both product</t>
  </si>
  <si>
    <t>Material A</t>
  </si>
  <si>
    <t>Material B</t>
  </si>
  <si>
    <t>Skilled Labour</t>
  </si>
  <si>
    <t>Unskilled Labour</t>
  </si>
  <si>
    <t>VOH</t>
  </si>
  <si>
    <t>CM from Export Orders</t>
  </si>
  <si>
    <t>CM / unit</t>
  </si>
  <si>
    <t>Material B consumption</t>
  </si>
  <si>
    <t>Kg/ Unit</t>
  </si>
  <si>
    <t>Matr Consumd</t>
  </si>
  <si>
    <t>Skilled Labour Consumption</t>
  </si>
  <si>
    <t>Material B leftover for local sales</t>
  </si>
  <si>
    <t>Skilled Labour leftover for local sales</t>
  </si>
  <si>
    <t xml:space="preserve">Options </t>
  </si>
  <si>
    <t>Products</t>
  </si>
  <si>
    <t>units</t>
  </si>
  <si>
    <t>Matr Consm</t>
  </si>
  <si>
    <t>Hours Consmed</t>
  </si>
  <si>
    <t>Leftovr Matr</t>
  </si>
  <si>
    <t>Leftover Labr</t>
  </si>
  <si>
    <t>Maximum possible production</t>
  </si>
  <si>
    <t>Using Material</t>
  </si>
  <si>
    <t>Using Labour Hrs</t>
  </si>
  <si>
    <t>Real Limiting Factor</t>
  </si>
  <si>
    <t xml:space="preserve">Conclusion </t>
  </si>
  <si>
    <t>Total Profit under both strategies</t>
  </si>
  <si>
    <t>Making C031 first and than D032 (Strategy 1)</t>
  </si>
  <si>
    <t>Making D032 first and than C031 (Strategy 2)</t>
  </si>
  <si>
    <t>Strategy 1</t>
  </si>
  <si>
    <t>Strategy 2</t>
  </si>
  <si>
    <t>CM (Export Sales) C031</t>
  </si>
  <si>
    <t>CM (Export Sales) D032</t>
  </si>
  <si>
    <t>CM (Local Sales) C031</t>
  </si>
  <si>
    <t>CM (Local Sales) D032</t>
  </si>
  <si>
    <t>Fixed Costs</t>
  </si>
  <si>
    <t>Better Strategy</t>
  </si>
  <si>
    <t>Question 4</t>
  </si>
  <si>
    <t>Product Cost</t>
  </si>
  <si>
    <t>Absorption</t>
  </si>
  <si>
    <t>Marginal</t>
  </si>
  <si>
    <t>Direct Material</t>
  </si>
  <si>
    <t>Direct Labour</t>
  </si>
  <si>
    <t>Variable POH</t>
  </si>
  <si>
    <t>Fixed POH</t>
  </si>
  <si>
    <t>Current Year</t>
  </si>
  <si>
    <t>Prior Year</t>
  </si>
  <si>
    <t>Profit and Loss (Absorption Costing)</t>
  </si>
  <si>
    <t>Budgeted FOH</t>
  </si>
  <si>
    <t>Opening</t>
  </si>
  <si>
    <t>Profuction</t>
  </si>
  <si>
    <t>Closing</t>
  </si>
  <si>
    <t>COGS</t>
  </si>
  <si>
    <t>Opening Stock</t>
  </si>
  <si>
    <t>COGM</t>
  </si>
  <si>
    <t>Closing Stock</t>
  </si>
  <si>
    <t>Gross Profit</t>
  </si>
  <si>
    <t>Selling and Admin</t>
  </si>
  <si>
    <t>Variable</t>
  </si>
  <si>
    <t>Fixed</t>
  </si>
  <si>
    <t>Net Profit</t>
  </si>
  <si>
    <t>Gross CM</t>
  </si>
  <si>
    <t>Variable Selling and Admin</t>
  </si>
  <si>
    <t>Production cost</t>
  </si>
  <si>
    <t>Over / under Absorption</t>
  </si>
  <si>
    <t>Allocated FOH</t>
  </si>
  <si>
    <t>Actual FOH</t>
  </si>
  <si>
    <t>Under Applied</t>
  </si>
  <si>
    <t>Under Applied OH</t>
  </si>
  <si>
    <t>Reconciliation</t>
  </si>
  <si>
    <t>Aprofit as per aabsorption</t>
  </si>
  <si>
    <t>Less Closing stock loading</t>
  </si>
  <si>
    <t>Add Opening stock loading</t>
  </si>
  <si>
    <t>Startegy 2 is better off with higher contribution margin</t>
  </si>
  <si>
    <t>Profit and Loss (Marginal Costing)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</si>
</sst>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ndara"/>
      <family val="2"/>
    </font>
    <font>
      <b/>
      <u/>
      <sz val="13"/>
      <color theme="1"/>
      <name val="Candara"/>
      <family val="2"/>
    </font>
    <font>
      <b/>
      <u val="singleAccounting"/>
      <sz val="13"/>
      <color theme="1"/>
      <name val="Candara"/>
      <family val="2"/>
    </font>
    <font>
      <b/>
      <sz val="13"/>
      <color theme="1"/>
      <name val="Candara"/>
      <family val="2"/>
    </font>
    <font>
      <u val="singleAccounting"/>
      <sz val="13"/>
      <color theme="1"/>
      <name val="Candara"/>
      <family val="2"/>
    </font>
    <font>
      <u/>
      <sz val="13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0" xfId="1" applyFont="1"/>
    <xf numFmtId="164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2" fillId="0" borderId="1" xfId="1" applyNumberFormat="1" applyFont="1" applyBorder="1"/>
    <xf numFmtId="164" fontId="4" fillId="0" borderId="0" xfId="1" applyNumberFormat="1" applyFont="1"/>
    <xf numFmtId="43" fontId="2" fillId="0" borderId="1" xfId="1" applyFont="1" applyBorder="1"/>
    <xf numFmtId="164" fontId="3" fillId="0" borderId="0" xfId="1" applyNumberFormat="1" applyFont="1"/>
    <xf numFmtId="9" fontId="2" fillId="0" borderId="0" xfId="2" applyFont="1"/>
    <xf numFmtId="10" fontId="2" fillId="0" borderId="0" xfId="2" applyNumberFormat="1" applyFont="1"/>
    <xf numFmtId="164" fontId="5" fillId="0" borderId="0" xfId="1" applyNumberFormat="1" applyFont="1"/>
    <xf numFmtId="164" fontId="2" fillId="0" borderId="2" xfId="1" applyNumberFormat="1" applyFont="1" applyBorder="1"/>
    <xf numFmtId="164" fontId="5" fillId="0" borderId="2" xfId="1" applyNumberFormat="1" applyFont="1" applyBorder="1"/>
    <xf numFmtId="10" fontId="2" fillId="2" borderId="0" xfId="2" applyNumberFormat="1" applyFont="1" applyFill="1"/>
    <xf numFmtId="164" fontId="2" fillId="0" borderId="3" xfId="1" applyNumberFormat="1" applyFont="1" applyBorder="1"/>
    <xf numFmtId="164" fontId="2" fillId="0" borderId="4" xfId="1" applyNumberFormat="1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6" fillId="0" borderId="0" xfId="1" applyNumberFormat="1" applyFont="1"/>
    <xf numFmtId="43" fontId="2" fillId="0" borderId="2" xfId="1" applyFont="1" applyBorder="1"/>
    <xf numFmtId="164" fontId="7" fillId="0" borderId="0" xfId="1" applyNumberFormat="1" applyFont="1"/>
    <xf numFmtId="164" fontId="6" fillId="0" borderId="0" xfId="1" applyNumberFormat="1" applyFont="1" applyAlignment="1">
      <alignment wrapText="1"/>
    </xf>
    <xf numFmtId="164" fontId="2" fillId="2" borderId="0" xfId="1" applyNumberFormat="1" applyFont="1" applyFill="1"/>
    <xf numFmtId="164" fontId="2" fillId="0" borderId="6" xfId="1" applyNumberFormat="1" applyFont="1" applyBorder="1"/>
    <xf numFmtId="164" fontId="3" fillId="0" borderId="0" xfId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209551</xdr:colOff>
      <xdr:row>3</xdr:row>
      <xdr:rowOff>152401</xdr:rowOff>
    </xdr:from>
    <xdr:to>
      <xdr:col>9</xdr:col>
      <xdr:colOff>85726</xdr:colOff>
      <xdr:row>5</xdr:row>
      <xdr:rowOff>28576</xdr:rowOff>
    </xdr:to>
    <xdr:cxnSp macro="">
      <xdr:nvCxnSpPr>
        <xdr:cNvPr id="3" name="Straight Arrow Connector 2"/>
        <xdr:cNvCxnSpPr/>
      </xdr:nvCxnSpPr>
      <xdr:spPr>
        <a:xfrm rot="10800000">
          <a:off x="4162426" y="866776"/>
          <a:ext cx="3057525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19" sqref="D19"/>
    </sheetView>
  </sheetViews>
  <sheetFormatPr defaultRowHeight="17.25"/>
  <cols>
    <col min="1" max="4" width="9.140625" style="2"/>
    <col min="5" max="5" width="11.140625" style="2" bestFit="1" customWidth="1"/>
    <col min="6" max="6" width="13" style="2" bestFit="1" customWidth="1"/>
    <col min="7" max="16384" width="9.140625" style="2"/>
  </cols>
  <sheetData>
    <row r="1" spans="1:7">
      <c r="A1" s="7" t="s">
        <v>15</v>
      </c>
    </row>
    <row r="3" spans="1:7">
      <c r="B3" s="7" t="s">
        <v>16</v>
      </c>
    </row>
    <row r="4" spans="1:7">
      <c r="B4" s="2" t="s">
        <v>17</v>
      </c>
      <c r="F4" s="2">
        <v>100</v>
      </c>
    </row>
    <row r="5" spans="1:7">
      <c r="B5" s="2" t="s">
        <v>18</v>
      </c>
      <c r="F5" s="4">
        <f>15%*16000</f>
        <v>2400</v>
      </c>
    </row>
    <row r="6" spans="1:7">
      <c r="F6" s="2">
        <f>SUM(F4:F5)</f>
        <v>2500</v>
      </c>
    </row>
    <row r="8" spans="1:7">
      <c r="B8" s="7" t="s">
        <v>19</v>
      </c>
    </row>
    <row r="9" spans="1:7">
      <c r="B9" s="2" t="s">
        <v>20</v>
      </c>
      <c r="F9" s="2">
        <v>20000</v>
      </c>
    </row>
    <row r="10" spans="1:7">
      <c r="B10" s="2" t="s">
        <v>21</v>
      </c>
      <c r="F10" s="4">
        <v>25000</v>
      </c>
    </row>
    <row r="11" spans="1:7">
      <c r="F11" s="2">
        <f>SUM(F9:F10)</f>
        <v>45000</v>
      </c>
    </row>
    <row r="13" spans="1:7">
      <c r="B13" s="2" t="s">
        <v>23</v>
      </c>
      <c r="F13" s="2">
        <f>600*6</f>
        <v>3600</v>
      </c>
    </row>
    <row r="15" spans="1:7">
      <c r="B15" s="2" t="s">
        <v>22</v>
      </c>
      <c r="F15" s="1">
        <f>+((2*F13*F11/F6)^0.5)</f>
        <v>360</v>
      </c>
      <c r="G15" s="2" t="s">
        <v>24</v>
      </c>
    </row>
    <row r="18" spans="2:5" ht="19.5">
      <c r="B18" s="5" t="s">
        <v>25</v>
      </c>
    </row>
    <row r="20" spans="2:5" ht="19.5">
      <c r="B20" s="5" t="s">
        <v>30</v>
      </c>
    </row>
    <row r="21" spans="2:5">
      <c r="B21" s="2" t="s">
        <v>26</v>
      </c>
      <c r="E21" s="2">
        <f>+F15/2</f>
        <v>180</v>
      </c>
    </row>
    <row r="22" spans="2:5">
      <c r="B22" s="2" t="s">
        <v>27</v>
      </c>
      <c r="E22" s="4">
        <v>30</v>
      </c>
    </row>
    <row r="23" spans="2:5">
      <c r="B23" s="2" t="s">
        <v>28</v>
      </c>
      <c r="E23" s="2">
        <f>SUM(E21:E22)</f>
        <v>210</v>
      </c>
    </row>
    <row r="25" spans="2:5">
      <c r="B25" s="2" t="s">
        <v>16</v>
      </c>
      <c r="E25" s="2">
        <f>+E23*F6</f>
        <v>525000</v>
      </c>
    </row>
    <row r="27" spans="2:5" ht="19.5">
      <c r="B27" s="5" t="s">
        <v>29</v>
      </c>
    </row>
    <row r="28" spans="2:5">
      <c r="B28" s="2" t="s">
        <v>31</v>
      </c>
      <c r="E28" s="2">
        <f>6*600/F15</f>
        <v>10</v>
      </c>
    </row>
    <row r="29" spans="2:5">
      <c r="B29" s="2" t="s">
        <v>32</v>
      </c>
      <c r="E29" s="2">
        <f>+F11</f>
        <v>45000</v>
      </c>
    </row>
    <row r="30" spans="2:5">
      <c r="B30" s="2" t="s">
        <v>25</v>
      </c>
      <c r="E30" s="2">
        <f>+E29*E28</f>
        <v>450000</v>
      </c>
    </row>
    <row r="32" spans="2:5" s="10" customFormat="1" ht="18" thickBot="1">
      <c r="B32" s="10" t="s">
        <v>33</v>
      </c>
      <c r="E32" s="12">
        <f>+E30+E25</f>
        <v>975000</v>
      </c>
    </row>
    <row r="33" ht="18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opLeftCell="A7" workbookViewId="0">
      <selection activeCell="D15" sqref="D15"/>
    </sheetView>
  </sheetViews>
  <sheetFormatPr defaultRowHeight="17.25"/>
  <cols>
    <col min="1" max="1" width="22.140625" style="2" bestFit="1" customWidth="1"/>
    <col min="2" max="2" width="31.42578125" style="2" bestFit="1" customWidth="1"/>
    <col min="3" max="3" width="13.140625" style="2" bestFit="1" customWidth="1"/>
    <col min="4" max="4" width="18.85546875" style="2" bestFit="1" customWidth="1"/>
    <col min="5" max="6" width="17" style="2" bestFit="1" customWidth="1"/>
    <col min="7" max="7" width="15" style="2" bestFit="1" customWidth="1"/>
    <col min="8" max="8" width="15.85546875" style="2" bestFit="1" customWidth="1"/>
    <col min="9" max="10" width="9.140625" style="2"/>
    <col min="11" max="11" width="11.5703125" style="2" bestFit="1" customWidth="1"/>
    <col min="12" max="16384" width="9.140625" style="2"/>
  </cols>
  <sheetData>
    <row r="1" spans="1:11">
      <c r="A1" s="7" t="s">
        <v>66</v>
      </c>
      <c r="B1" s="7"/>
    </row>
    <row r="3" spans="1:11" ht="19.5">
      <c r="B3" s="5" t="s">
        <v>81</v>
      </c>
      <c r="D3" s="7" t="s">
        <v>67</v>
      </c>
      <c r="E3" s="7" t="s">
        <v>68</v>
      </c>
      <c r="F3" s="7" t="s">
        <v>69</v>
      </c>
      <c r="G3" s="7" t="s">
        <v>70</v>
      </c>
      <c r="H3" s="5" t="s">
        <v>52</v>
      </c>
    </row>
    <row r="4" spans="1:11">
      <c r="A4" s="2" t="s">
        <v>71</v>
      </c>
      <c r="B4" s="14" t="s">
        <v>84</v>
      </c>
      <c r="D4" s="14">
        <v>46000</v>
      </c>
      <c r="E4" s="14">
        <v>27000</v>
      </c>
      <c r="F4" s="14">
        <v>36000</v>
      </c>
      <c r="G4" s="14">
        <v>137000</v>
      </c>
      <c r="H4" s="14">
        <f>SUM(D4:G4)</f>
        <v>246000</v>
      </c>
    </row>
    <row r="5" spans="1:11">
      <c r="A5" s="2" t="s">
        <v>72</v>
      </c>
      <c r="B5" s="17" t="s">
        <v>84</v>
      </c>
      <c r="D5" s="17">
        <v>68000</v>
      </c>
      <c r="E5" s="17">
        <v>18000</v>
      </c>
      <c r="F5" s="17">
        <v>36000</v>
      </c>
      <c r="G5" s="17">
        <v>91000</v>
      </c>
      <c r="H5" s="17">
        <f t="shared" ref="H5:H8" si="0">SUM(D5:G5)</f>
        <v>213000</v>
      </c>
    </row>
    <row r="6" spans="1:11">
      <c r="A6" s="2" t="s">
        <v>73</v>
      </c>
      <c r="B6" s="17" t="s">
        <v>85</v>
      </c>
      <c r="D6" s="17">
        <f>(465/45*40)*1000</f>
        <v>413333.33333333337</v>
      </c>
      <c r="E6" s="17">
        <f>(465/45*2)*1000</f>
        <v>20666.666666666668</v>
      </c>
      <c r="F6" s="17">
        <f>(465/45*3)*1000</f>
        <v>31000</v>
      </c>
      <c r="G6" s="17">
        <v>0</v>
      </c>
      <c r="H6" s="17">
        <f t="shared" si="0"/>
        <v>465000.00000000006</v>
      </c>
    </row>
    <row r="7" spans="1:11">
      <c r="A7" s="2" t="s">
        <v>74</v>
      </c>
      <c r="B7" s="17" t="s">
        <v>87</v>
      </c>
      <c r="D7" s="17">
        <f>(0.023*1000)*1000</f>
        <v>23000</v>
      </c>
      <c r="E7" s="17">
        <f>(0.023*400)*1000</f>
        <v>9200</v>
      </c>
      <c r="F7" s="17">
        <f>(0.023*300)*1000</f>
        <v>6899.9999999999991</v>
      </c>
      <c r="G7" s="17">
        <f>(0.023*300)*1000</f>
        <v>6899.9999999999991</v>
      </c>
      <c r="H7" s="17">
        <f t="shared" si="0"/>
        <v>46000</v>
      </c>
      <c r="K7" s="2">
        <v>1000</v>
      </c>
    </row>
    <row r="8" spans="1:11">
      <c r="A8" s="2" t="s">
        <v>75</v>
      </c>
      <c r="B8" s="17" t="s">
        <v>86</v>
      </c>
      <c r="D8" s="17">
        <f>(108/35000*20000)*1000</f>
        <v>61714.285714285717</v>
      </c>
      <c r="E8" s="17">
        <f>(108/35000*8000)*1000</f>
        <v>24685.714285714286</v>
      </c>
      <c r="F8" s="17">
        <f>(108/35000*3000)*1000</f>
        <v>9257.1428571428587</v>
      </c>
      <c r="G8" s="17">
        <f>(108/35000*4000)*1000</f>
        <v>12342.857142857143</v>
      </c>
      <c r="H8" s="17">
        <f t="shared" si="0"/>
        <v>108000</v>
      </c>
    </row>
    <row r="9" spans="1:11">
      <c r="A9" s="2" t="s">
        <v>76</v>
      </c>
      <c r="B9" s="17" t="s">
        <v>87</v>
      </c>
      <c r="D9" s="17">
        <f>(0.057*1000)*1000</f>
        <v>57000</v>
      </c>
      <c r="E9" s="17">
        <f>(0.057*400)*1000</f>
        <v>22800</v>
      </c>
      <c r="F9" s="17">
        <f>(0.057*300)*1000</f>
        <v>17100</v>
      </c>
      <c r="G9" s="17">
        <f>(0.057*300)*1000</f>
        <v>17100</v>
      </c>
      <c r="H9" s="17">
        <f>SUM(D9:G9)</f>
        <v>114000</v>
      </c>
    </row>
    <row r="10" spans="1:11">
      <c r="A10" s="2" t="s">
        <v>77</v>
      </c>
      <c r="B10" s="15" t="s">
        <v>88</v>
      </c>
      <c r="D10" s="15">
        <f>(0.228438228438228*365)*1000</f>
        <v>83379.953379953222</v>
      </c>
      <c r="E10" s="15">
        <f>(0.228438228438228*46)*1000</f>
        <v>10508.158508158487</v>
      </c>
      <c r="F10" s="15">
        <f>(0.228438228438228*18)*1000</f>
        <v>4111.8881118881036</v>
      </c>
      <c r="G10" s="15">
        <v>0</v>
      </c>
      <c r="H10" s="15">
        <f>SUM(D10:G10)</f>
        <v>97999.999999999825</v>
      </c>
    </row>
    <row r="12" spans="1:11">
      <c r="A12" s="2" t="s">
        <v>52</v>
      </c>
      <c r="D12" s="2">
        <f>SUM(D4:D11)</f>
        <v>752427.57242757222</v>
      </c>
      <c r="E12" s="2">
        <f t="shared" ref="E12:G12" si="1">SUM(E4:E11)</f>
        <v>132860.53946053944</v>
      </c>
      <c r="F12" s="2">
        <f t="shared" si="1"/>
        <v>140369.03096903095</v>
      </c>
      <c r="G12" s="2">
        <f t="shared" si="1"/>
        <v>264342.85714285716</v>
      </c>
      <c r="H12" s="2">
        <f>SUM(H4:H11)</f>
        <v>1289999.9999999998</v>
      </c>
    </row>
    <row r="14" spans="1:11" ht="19.5">
      <c r="A14" s="18" t="s">
        <v>83</v>
      </c>
      <c r="B14" s="18"/>
    </row>
    <row r="15" spans="1:11">
      <c r="A15" s="2" t="s">
        <v>78</v>
      </c>
      <c r="B15" s="14" t="s">
        <v>85</v>
      </c>
      <c r="C15" s="2">
        <f>+G12*0.8</f>
        <v>211474.28571428574</v>
      </c>
      <c r="D15" s="14">
        <f>+C15/45000*40000</f>
        <v>187977.1428571429</v>
      </c>
      <c r="E15" s="14">
        <f>+C15/45000*2000</f>
        <v>9398.8571428571449</v>
      </c>
      <c r="F15" s="14">
        <f>+C15/45000*3000</f>
        <v>14098.285714285717</v>
      </c>
      <c r="G15" s="14">
        <f>-C15</f>
        <v>-211474.28571428574</v>
      </c>
      <c r="H15" s="2">
        <f>SUM(D15:G15)</f>
        <v>0</v>
      </c>
    </row>
    <row r="16" spans="1:11">
      <c r="A16" s="2" t="s">
        <v>79</v>
      </c>
      <c r="B16" s="15" t="s">
        <v>87</v>
      </c>
      <c r="C16" s="2">
        <f>+G12*0.2</f>
        <v>52868.571428571435</v>
      </c>
      <c r="D16" s="15">
        <f>+C16/1700*1000</f>
        <v>31099.15966386555</v>
      </c>
      <c r="E16" s="15">
        <f>+C16/1700*400</f>
        <v>12439.663865546219</v>
      </c>
      <c r="F16" s="15">
        <f>+C16/1700*300</f>
        <v>9329.7478991596654</v>
      </c>
      <c r="G16" s="15">
        <f>-C16</f>
        <v>-52868.571428571435</v>
      </c>
      <c r="H16" s="2">
        <f>SUM(D16:G16)</f>
        <v>0</v>
      </c>
    </row>
    <row r="18" spans="1:8">
      <c r="A18" s="2" t="s">
        <v>80</v>
      </c>
      <c r="D18" s="2">
        <f>SUM(D12:D16)</f>
        <v>971503.87494858075</v>
      </c>
      <c r="E18" s="2">
        <f t="shared" ref="E18:H18" si="2">SUM(E12:E16)</f>
        <v>154699.0604689428</v>
      </c>
      <c r="F18" s="2">
        <f t="shared" si="2"/>
        <v>163797.06458247633</v>
      </c>
      <c r="G18" s="2">
        <f t="shared" si="2"/>
        <v>0</v>
      </c>
      <c r="H18" s="2">
        <f t="shared" si="2"/>
        <v>1289999.9999999998</v>
      </c>
    </row>
    <row r="20" spans="1:8">
      <c r="A20" s="2" t="s">
        <v>81</v>
      </c>
      <c r="D20" s="2" t="s">
        <v>85</v>
      </c>
      <c r="E20" s="2" t="s">
        <v>90</v>
      </c>
      <c r="F20" s="2" t="s">
        <v>90</v>
      </c>
    </row>
    <row r="21" spans="1:8">
      <c r="A21" s="2" t="s">
        <v>89</v>
      </c>
      <c r="D21" s="2">
        <v>40000</v>
      </c>
      <c r="E21" s="2">
        <v>8000</v>
      </c>
      <c r="F21" s="2">
        <v>16000</v>
      </c>
    </row>
    <row r="23" spans="1:8" ht="18" thickBot="1">
      <c r="A23" s="2" t="s">
        <v>82</v>
      </c>
      <c r="D23" s="19">
        <f>+D18/D21</f>
        <v>24.28759687371452</v>
      </c>
      <c r="E23" s="19">
        <f t="shared" ref="E23:F23" si="3">+E18/E21</f>
        <v>19.33738255861785</v>
      </c>
      <c r="F23" s="19">
        <f t="shared" si="3"/>
        <v>10.237316536404771</v>
      </c>
    </row>
    <row r="24" spans="1:8" ht="18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18" workbookViewId="0">
      <selection activeCell="E19" sqref="E19"/>
    </sheetView>
  </sheetViews>
  <sheetFormatPr defaultRowHeight="17.25"/>
  <cols>
    <col min="1" max="2" width="9.140625" style="2"/>
    <col min="3" max="4" width="14.42578125" style="2" bestFit="1" customWidth="1"/>
    <col min="5" max="5" width="12.5703125" style="2" bestFit="1" customWidth="1"/>
    <col min="6" max="6" width="10" style="2" bestFit="1" customWidth="1"/>
    <col min="7" max="7" width="13.7109375" style="2" bestFit="1" customWidth="1"/>
    <col min="8" max="8" width="14.42578125" style="2" bestFit="1" customWidth="1"/>
    <col min="9" max="16384" width="9.140625" style="2"/>
  </cols>
  <sheetData>
    <row r="1" spans="1:6">
      <c r="A1" s="7" t="s">
        <v>142</v>
      </c>
    </row>
    <row r="2" spans="1:6">
      <c r="A2" s="7"/>
      <c r="C2" s="24" t="s">
        <v>150</v>
      </c>
      <c r="D2" s="24"/>
      <c r="E2" s="24" t="s">
        <v>151</v>
      </c>
      <c r="F2" s="24"/>
    </row>
    <row r="3" spans="1:6">
      <c r="A3" s="7" t="s">
        <v>143</v>
      </c>
      <c r="C3" s="7" t="s">
        <v>144</v>
      </c>
      <c r="D3" s="7" t="s">
        <v>145</v>
      </c>
      <c r="E3" s="7" t="s">
        <v>144</v>
      </c>
      <c r="F3" s="7" t="s">
        <v>145</v>
      </c>
    </row>
    <row r="4" spans="1:6">
      <c r="A4" s="2" t="s">
        <v>146</v>
      </c>
      <c r="C4" s="2">
        <v>630</v>
      </c>
      <c r="D4" s="2">
        <f>+C4</f>
        <v>630</v>
      </c>
      <c r="E4" s="2">
        <f>+C4/1.05</f>
        <v>600</v>
      </c>
      <c r="F4" s="2">
        <f>+D4/1.05</f>
        <v>600</v>
      </c>
    </row>
    <row r="5" spans="1:6">
      <c r="A5" s="2" t="s">
        <v>147</v>
      </c>
      <c r="C5" s="2">
        <v>189</v>
      </c>
      <c r="D5" s="2">
        <f>+C5</f>
        <v>189</v>
      </c>
      <c r="E5" s="2">
        <f>+C5/1.05</f>
        <v>180</v>
      </c>
      <c r="F5" s="2">
        <f>+E5</f>
        <v>180</v>
      </c>
    </row>
    <row r="6" spans="1:6">
      <c r="A6" s="2" t="s">
        <v>148</v>
      </c>
      <c r="C6" s="2">
        <f>220*0.6</f>
        <v>132</v>
      </c>
      <c r="D6" s="2">
        <f>+C6</f>
        <v>132</v>
      </c>
      <c r="E6" s="2">
        <f>+C6/1.1</f>
        <v>119.99999999999999</v>
      </c>
      <c r="F6" s="2">
        <f>+E6</f>
        <v>119.99999999999999</v>
      </c>
    </row>
    <row r="7" spans="1:6">
      <c r="A7" s="2" t="s">
        <v>149</v>
      </c>
      <c r="C7" s="2">
        <f>220-C6</f>
        <v>88</v>
      </c>
      <c r="D7" s="2">
        <v>0</v>
      </c>
      <c r="E7" s="2">
        <f>+C7/1.1</f>
        <v>80</v>
      </c>
      <c r="F7" s="2">
        <v>0</v>
      </c>
    </row>
    <row r="8" spans="1:6" ht="18" thickBot="1">
      <c r="C8" s="11">
        <f>SUM(C4:C7)</f>
        <v>1039</v>
      </c>
      <c r="D8" s="11">
        <f t="shared" ref="D8:F8" si="0">SUM(D4:D7)</f>
        <v>951</v>
      </c>
      <c r="E8" s="11">
        <f t="shared" si="0"/>
        <v>980</v>
      </c>
      <c r="F8" s="11">
        <f t="shared" si="0"/>
        <v>900</v>
      </c>
    </row>
    <row r="9" spans="1:6" ht="18" thickTop="1"/>
    <row r="10" spans="1:6">
      <c r="A10" s="2" t="s">
        <v>153</v>
      </c>
      <c r="C10" s="2">
        <f>+C7*15000</f>
        <v>1320000</v>
      </c>
      <c r="E10" s="2">
        <f>+E7*15000</f>
        <v>1200000</v>
      </c>
    </row>
    <row r="12" spans="1:6" ht="19.5">
      <c r="A12" s="5" t="s">
        <v>12</v>
      </c>
    </row>
    <row r="13" spans="1:6">
      <c r="A13" s="2" t="s">
        <v>154</v>
      </c>
      <c r="C13" s="2">
        <v>4000</v>
      </c>
    </row>
    <row r="14" spans="1:6">
      <c r="A14" s="2" t="s">
        <v>155</v>
      </c>
      <c r="C14" s="2">
        <v>12000</v>
      </c>
    </row>
    <row r="15" spans="1:6">
      <c r="A15" s="2" t="s">
        <v>156</v>
      </c>
      <c r="C15" s="2">
        <v>-3000</v>
      </c>
    </row>
    <row r="16" spans="1:6" ht="18" thickBot="1">
      <c r="A16" s="2" t="s">
        <v>12</v>
      </c>
      <c r="C16" s="11">
        <f>SUM(C13:C15)</f>
        <v>13000</v>
      </c>
    </row>
    <row r="17" spans="1:8" ht="18" thickTop="1"/>
    <row r="18" spans="1:8" ht="19.5">
      <c r="A18" s="5" t="s">
        <v>152</v>
      </c>
      <c r="E18" s="5" t="s">
        <v>179</v>
      </c>
    </row>
    <row r="20" spans="1:8">
      <c r="A20" s="2" t="s">
        <v>12</v>
      </c>
      <c r="D20" s="2">
        <f>+C16*1600</f>
        <v>20800000</v>
      </c>
      <c r="E20" s="2" t="s">
        <v>12</v>
      </c>
      <c r="H20" s="2">
        <f>+D20</f>
        <v>20800000</v>
      </c>
    </row>
    <row r="21" spans="1:8" ht="19.5">
      <c r="A21" s="18" t="s">
        <v>157</v>
      </c>
      <c r="E21" s="18" t="s">
        <v>157</v>
      </c>
    </row>
    <row r="22" spans="1:8">
      <c r="A22" s="2" t="s">
        <v>158</v>
      </c>
      <c r="C22" s="14">
        <f>+C13*E8</f>
        <v>3920000</v>
      </c>
      <c r="E22" s="2" t="s">
        <v>158</v>
      </c>
      <c r="G22" s="14">
        <f>+C13*F8</f>
        <v>3600000</v>
      </c>
    </row>
    <row r="23" spans="1:8">
      <c r="A23" s="2" t="s">
        <v>159</v>
      </c>
      <c r="C23" s="17">
        <f>+C14*C8</f>
        <v>12468000</v>
      </c>
      <c r="E23" s="2" t="s">
        <v>159</v>
      </c>
      <c r="G23" s="17">
        <f>+D8*C14</f>
        <v>11412000</v>
      </c>
    </row>
    <row r="24" spans="1:8">
      <c r="A24" s="2" t="s">
        <v>160</v>
      </c>
      <c r="C24" s="15">
        <f>+C15*C8</f>
        <v>-3117000</v>
      </c>
      <c r="D24" s="23">
        <f>-SUM(C22:C24)</f>
        <v>-13271000</v>
      </c>
      <c r="E24" s="2" t="s">
        <v>160</v>
      </c>
      <c r="G24" s="15">
        <f>+C15*D8</f>
        <v>-2853000</v>
      </c>
      <c r="H24" s="23">
        <f>-SUM(G22:G24)</f>
        <v>-12159000</v>
      </c>
    </row>
    <row r="25" spans="1:8">
      <c r="A25" s="2" t="s">
        <v>161</v>
      </c>
      <c r="D25" s="2">
        <f>+D20+D24</f>
        <v>7529000</v>
      </c>
      <c r="E25" s="2" t="s">
        <v>166</v>
      </c>
      <c r="H25" s="2">
        <f>+H20+H24</f>
        <v>8641000</v>
      </c>
    </row>
    <row r="26" spans="1:8">
      <c r="E26" s="2" t="s">
        <v>167</v>
      </c>
      <c r="H26" s="4">
        <f>+D30</f>
        <v>-858000</v>
      </c>
    </row>
    <row r="27" spans="1:8">
      <c r="A27" s="2" t="s">
        <v>173</v>
      </c>
      <c r="D27" s="2">
        <f>+D37</f>
        <v>-264000</v>
      </c>
      <c r="H27" s="2">
        <f>SUM(H25:H26)</f>
        <v>7783000</v>
      </c>
    </row>
    <row r="28" spans="1:8" ht="19.5">
      <c r="E28" s="18" t="s">
        <v>140</v>
      </c>
      <c r="H28" s="2">
        <f>16*0.4*G16*-1</f>
        <v>0</v>
      </c>
    </row>
    <row r="29" spans="1:8" ht="19.5">
      <c r="A29" s="18" t="s">
        <v>162</v>
      </c>
      <c r="E29" s="2" t="s">
        <v>168</v>
      </c>
      <c r="H29" s="2">
        <f>-C10</f>
        <v>-1320000</v>
      </c>
    </row>
    <row r="30" spans="1:8">
      <c r="A30" s="2" t="s">
        <v>163</v>
      </c>
      <c r="D30" s="2">
        <f>165*0.4*C16*-1</f>
        <v>-858000</v>
      </c>
      <c r="E30" s="2" t="s">
        <v>162</v>
      </c>
      <c r="H30" s="2">
        <f>+D31</f>
        <v>-1485000</v>
      </c>
    </row>
    <row r="31" spans="1:8">
      <c r="A31" s="2" t="s">
        <v>164</v>
      </c>
      <c r="D31" s="2">
        <f>-15000*165*0.6</f>
        <v>-1485000</v>
      </c>
    </row>
    <row r="32" spans="1:8" ht="18" thickBot="1">
      <c r="A32" s="2" t="s">
        <v>165</v>
      </c>
      <c r="D32" s="11">
        <f>SUM(D25:D31)</f>
        <v>4922000</v>
      </c>
      <c r="E32" s="2" t="s">
        <v>165</v>
      </c>
      <c r="H32" s="11">
        <f>+H27+H29+H30</f>
        <v>4978000</v>
      </c>
    </row>
    <row r="33" spans="1:4" ht="18" thickTop="1"/>
    <row r="34" spans="1:4" ht="19.5">
      <c r="A34" s="5" t="s">
        <v>169</v>
      </c>
    </row>
    <row r="35" spans="1:4">
      <c r="A35" s="2" t="s">
        <v>170</v>
      </c>
      <c r="D35" s="2">
        <f>12000*220*0.4</f>
        <v>1056000</v>
      </c>
    </row>
    <row r="36" spans="1:4">
      <c r="A36" s="2" t="s">
        <v>171</v>
      </c>
      <c r="D36" s="2">
        <f>-C10</f>
        <v>-1320000</v>
      </c>
    </row>
    <row r="37" spans="1:4">
      <c r="A37" s="2" t="s">
        <v>172</v>
      </c>
      <c r="D37" s="2">
        <f>SUM(D35:D36)</f>
        <v>-264000</v>
      </c>
    </row>
    <row r="39" spans="1:4" ht="19.5">
      <c r="A39" s="5" t="s">
        <v>174</v>
      </c>
    </row>
    <row r="41" spans="1:4">
      <c r="A41" s="2" t="s">
        <v>175</v>
      </c>
      <c r="D41" s="2">
        <f>+D32</f>
        <v>4922000</v>
      </c>
    </row>
    <row r="42" spans="1:4">
      <c r="A42" s="2" t="s">
        <v>176</v>
      </c>
      <c r="D42" s="2">
        <f>+C15*C7</f>
        <v>-264000</v>
      </c>
    </row>
    <row r="43" spans="1:4">
      <c r="A43" s="2" t="s">
        <v>177</v>
      </c>
      <c r="D43" s="2">
        <f>+C13*E7</f>
        <v>320000</v>
      </c>
    </row>
    <row r="44" spans="1:4" ht="18" thickBot="1">
      <c r="D44" s="11">
        <f>SUM(D41:D43)</f>
        <v>4978000</v>
      </c>
    </row>
    <row r="45" spans="1:4" ht="18" thickTop="1"/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3" sqref="A3"/>
    </sheetView>
  </sheetViews>
  <sheetFormatPr defaultRowHeight="17.25"/>
  <cols>
    <col min="1" max="1" width="9.140625" style="2"/>
    <col min="2" max="2" width="21.85546875" style="2" bestFit="1" customWidth="1"/>
    <col min="3" max="3" width="12.5703125" style="2" bestFit="1" customWidth="1"/>
    <col min="4" max="4" width="13.140625" style="2" bestFit="1" customWidth="1"/>
    <col min="5" max="5" width="13" style="2" bestFit="1" customWidth="1"/>
    <col min="6" max="6" width="14" style="2" bestFit="1" customWidth="1"/>
    <col min="7" max="16384" width="9.140625" style="2"/>
  </cols>
  <sheetData>
    <row r="1" spans="1:6" ht="19.5">
      <c r="A1" s="5" t="s">
        <v>64</v>
      </c>
    </row>
    <row r="2" spans="1:6" ht="19.5">
      <c r="A2" s="5" t="s">
        <v>65</v>
      </c>
    </row>
    <row r="3" spans="1:6">
      <c r="C3" s="3" t="s">
        <v>0</v>
      </c>
      <c r="D3" s="3" t="s">
        <v>1</v>
      </c>
      <c r="E3" s="3" t="s">
        <v>2</v>
      </c>
    </row>
    <row r="4" spans="1:6">
      <c r="B4" s="2" t="s">
        <v>6</v>
      </c>
      <c r="C4" s="2">
        <v>3120000</v>
      </c>
      <c r="D4" s="2">
        <f>(+C4/2*3)</f>
        <v>4680000</v>
      </c>
      <c r="E4" s="2">
        <f>(+D4/3*5)</f>
        <v>7800000</v>
      </c>
    </row>
    <row r="5" spans="1:6">
      <c r="B5" s="2" t="s">
        <v>7</v>
      </c>
      <c r="C5" s="2">
        <f>+C4/C7</f>
        <v>312000</v>
      </c>
      <c r="D5" s="2">
        <f t="shared" ref="D5:E5" si="0">+D4/D7</f>
        <v>585000</v>
      </c>
      <c r="E5" s="2">
        <f t="shared" si="0"/>
        <v>1560000</v>
      </c>
    </row>
    <row r="7" spans="1:6">
      <c r="B7" s="2" t="s">
        <v>3</v>
      </c>
      <c r="C7" s="2">
        <v>10</v>
      </c>
      <c r="D7" s="2">
        <v>8</v>
      </c>
      <c r="E7" s="2">
        <v>5</v>
      </c>
    </row>
    <row r="8" spans="1:6">
      <c r="B8" s="2" t="s">
        <v>4</v>
      </c>
      <c r="C8" s="4">
        <v>-5</v>
      </c>
      <c r="D8" s="4">
        <v>-5</v>
      </c>
      <c r="E8" s="4">
        <v>-3</v>
      </c>
    </row>
    <row r="9" spans="1:6">
      <c r="B9" s="2" t="s">
        <v>5</v>
      </c>
      <c r="C9" s="2">
        <f>+C7+C8</f>
        <v>5</v>
      </c>
      <c r="D9" s="2">
        <f t="shared" ref="D9:E9" si="1">+D7+D8</f>
        <v>3</v>
      </c>
      <c r="E9" s="2">
        <f t="shared" si="1"/>
        <v>2</v>
      </c>
    </row>
    <row r="11" spans="1:6">
      <c r="B11" s="2" t="s">
        <v>8</v>
      </c>
      <c r="C11" s="2">
        <f>+C9*C5</f>
        <v>1560000</v>
      </c>
      <c r="D11" s="2">
        <f t="shared" ref="D11:E11" si="2">+D9*D5</f>
        <v>1755000</v>
      </c>
      <c r="E11" s="2">
        <f t="shared" si="2"/>
        <v>3120000</v>
      </c>
      <c r="F11" s="2">
        <f>SUM(C11:E11)</f>
        <v>6435000</v>
      </c>
    </row>
    <row r="13" spans="1:6" ht="19.5">
      <c r="A13" s="5" t="s">
        <v>9</v>
      </c>
    </row>
    <row r="15" spans="1:6">
      <c r="B15" s="2" t="s">
        <v>59</v>
      </c>
      <c r="C15" s="1">
        <f>+C7*1.14</f>
        <v>11.399999999999999</v>
      </c>
      <c r="D15" s="1">
        <f t="shared" ref="D15:E15" si="3">+D7*1.14</f>
        <v>9.1199999999999992</v>
      </c>
      <c r="E15" s="1">
        <f t="shared" si="3"/>
        <v>5.6999999999999993</v>
      </c>
    </row>
    <row r="16" spans="1:6">
      <c r="B16" s="2" t="s">
        <v>60</v>
      </c>
      <c r="C16" s="6">
        <f>+C8*1.08</f>
        <v>-5.4</v>
      </c>
      <c r="D16" s="6">
        <f t="shared" ref="D16:E16" si="4">+D8*1.08</f>
        <v>-5.4</v>
      </c>
      <c r="E16" s="6">
        <f t="shared" si="4"/>
        <v>-3.24</v>
      </c>
    </row>
    <row r="17" spans="2:6">
      <c r="B17" s="2" t="s">
        <v>61</v>
      </c>
      <c r="C17" s="1">
        <f>SUM(C15:C16)</f>
        <v>5.9999999999999982</v>
      </c>
      <c r="D17" s="1">
        <f t="shared" ref="D17:E17" si="5">SUM(D15:D16)</f>
        <v>3.7199999999999989</v>
      </c>
      <c r="E17" s="1">
        <f t="shared" si="5"/>
        <v>2.4599999999999991</v>
      </c>
    </row>
    <row r="18" spans="2:6">
      <c r="B18" s="2" t="s">
        <v>62</v>
      </c>
      <c r="C18" s="2">
        <f>+C5*1.15</f>
        <v>358800</v>
      </c>
      <c r="D18" s="2">
        <f>+D5*1.12</f>
        <v>655200.00000000012</v>
      </c>
      <c r="E18" s="2">
        <f>+E5*1.1</f>
        <v>1716000.0000000002</v>
      </c>
    </row>
    <row r="19" spans="2:6">
      <c r="B19" s="2" t="s">
        <v>8</v>
      </c>
      <c r="C19" s="2">
        <f>+C17*C18</f>
        <v>2152799.9999999995</v>
      </c>
      <c r="D19" s="2">
        <f t="shared" ref="D19:E19" si="6">+D17*D18</f>
        <v>2437343.9999999995</v>
      </c>
      <c r="E19" s="2">
        <f t="shared" si="6"/>
        <v>4221359.9999999991</v>
      </c>
      <c r="F19" s="2">
        <f>SUM(C19:E19)</f>
        <v>8811503.9999999981</v>
      </c>
    </row>
    <row r="20" spans="2:6">
      <c r="B20" s="2" t="s">
        <v>10</v>
      </c>
      <c r="F20" s="4">
        <v>-250000</v>
      </c>
    </row>
    <row r="21" spans="2:6">
      <c r="B21" s="2" t="s">
        <v>63</v>
      </c>
      <c r="F21" s="2">
        <f>SUM(F19:F20)</f>
        <v>8561503.9999999981</v>
      </c>
    </row>
    <row r="23" spans="2:6">
      <c r="B23" s="2" t="s">
        <v>11</v>
      </c>
      <c r="F23" s="2">
        <f>+F21-F11</f>
        <v>2126503.9999999981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D19" sqref="D19"/>
    </sheetView>
  </sheetViews>
  <sheetFormatPr defaultRowHeight="17.25"/>
  <cols>
    <col min="1" max="1" width="9.140625" style="2"/>
    <col min="2" max="2" width="32.140625" style="2" bestFit="1" customWidth="1"/>
    <col min="3" max="3" width="14.5703125" style="2" bestFit="1" customWidth="1"/>
    <col min="4" max="4" width="15.7109375" style="2" bestFit="1" customWidth="1"/>
    <col min="5" max="5" width="12" style="2" bestFit="1" customWidth="1"/>
    <col min="6" max="16384" width="9.140625" style="2"/>
  </cols>
  <sheetData>
    <row r="1" spans="1:10" ht="19.5">
      <c r="A1" s="5" t="s">
        <v>34</v>
      </c>
    </row>
    <row r="2" spans="1:10" ht="19.5">
      <c r="C2" s="7" t="s">
        <v>13</v>
      </c>
      <c r="D2" s="7" t="s">
        <v>14</v>
      </c>
      <c r="G2" s="5" t="s">
        <v>38</v>
      </c>
      <c r="I2" s="5" t="s">
        <v>40</v>
      </c>
      <c r="J2" s="5" t="s">
        <v>41</v>
      </c>
    </row>
    <row r="3" spans="1:10">
      <c r="B3" s="2" t="s">
        <v>35</v>
      </c>
      <c r="C3" s="9">
        <v>0.4</v>
      </c>
      <c r="D3" s="9">
        <v>0.6</v>
      </c>
      <c r="G3" s="2" t="s">
        <v>39</v>
      </c>
      <c r="I3" s="2">
        <v>100</v>
      </c>
      <c r="J3" s="2">
        <v>110</v>
      </c>
    </row>
    <row r="4" spans="1:10">
      <c r="B4" s="2" t="s">
        <v>36</v>
      </c>
      <c r="C4" s="9">
        <v>0.15</v>
      </c>
      <c r="D4" s="13">
        <f>+J6</f>
        <v>0.31818181818181818</v>
      </c>
      <c r="G4" s="2" t="s">
        <v>42</v>
      </c>
      <c r="I4" s="2">
        <v>-75</v>
      </c>
      <c r="J4" s="2">
        <v>-75</v>
      </c>
    </row>
    <row r="5" spans="1:10">
      <c r="B5" s="2" t="s">
        <v>37</v>
      </c>
      <c r="C5" s="9">
        <f>+C3*C4</f>
        <v>0.06</v>
      </c>
      <c r="D5" s="9">
        <f>+D3*D4</f>
        <v>0.19090909090909089</v>
      </c>
      <c r="G5" s="2" t="s">
        <v>5</v>
      </c>
      <c r="I5" s="2">
        <f>SUM(I3:I4)</f>
        <v>25</v>
      </c>
      <c r="J5" s="2">
        <f>SUM(J3:J4)</f>
        <v>35</v>
      </c>
    </row>
    <row r="6" spans="1:10">
      <c r="B6" s="2" t="s">
        <v>43</v>
      </c>
      <c r="D6" s="9">
        <f>SUM(C5:D5)</f>
        <v>0.25090909090909086</v>
      </c>
      <c r="G6" s="2" t="s">
        <v>36</v>
      </c>
      <c r="I6" s="9">
        <f>+I5/I3</f>
        <v>0.25</v>
      </c>
      <c r="J6" s="9">
        <f>+J5/J3</f>
        <v>0.31818181818181818</v>
      </c>
    </row>
    <row r="7" spans="1:10">
      <c r="D7" s="9"/>
      <c r="I7" s="9"/>
      <c r="J7" s="9"/>
    </row>
    <row r="8" spans="1:10" ht="19.5">
      <c r="A8" s="5" t="s">
        <v>44</v>
      </c>
      <c r="D8" s="9"/>
      <c r="I8" s="9"/>
      <c r="J8" s="9"/>
    </row>
    <row r="9" spans="1:10">
      <c r="B9" s="2" t="s">
        <v>45</v>
      </c>
      <c r="C9" s="2" t="s">
        <v>46</v>
      </c>
      <c r="D9" s="2">
        <v>225000</v>
      </c>
      <c r="I9" s="9"/>
      <c r="J9" s="9"/>
    </row>
    <row r="10" spans="1:10">
      <c r="B10" s="2" t="s">
        <v>47</v>
      </c>
      <c r="D10" s="9">
        <f>+D6</f>
        <v>0.25090909090909086</v>
      </c>
      <c r="I10" s="9"/>
      <c r="J10" s="9"/>
    </row>
    <row r="11" spans="1:10">
      <c r="B11" s="2" t="s">
        <v>48</v>
      </c>
      <c r="D11" s="2">
        <f>+D9/D10</f>
        <v>896739.13043478283</v>
      </c>
      <c r="I11" s="9"/>
      <c r="J11" s="9"/>
    </row>
    <row r="12" spans="1:10">
      <c r="D12" s="9"/>
      <c r="I12" s="9"/>
      <c r="J12" s="9"/>
    </row>
    <row r="13" spans="1:10">
      <c r="B13" s="2" t="s">
        <v>49</v>
      </c>
      <c r="D13" s="9"/>
      <c r="I13" s="9"/>
      <c r="J13" s="9"/>
    </row>
    <row r="14" spans="1:10">
      <c r="B14" s="2" t="s">
        <v>12</v>
      </c>
      <c r="C14" s="2">
        <f>+D11*C3</f>
        <v>358695.65217391314</v>
      </c>
      <c r="D14" s="2">
        <f>+D11*D3</f>
        <v>538043.47826086963</v>
      </c>
    </row>
    <row r="16" spans="1:10" ht="19.5">
      <c r="B16" s="5" t="s">
        <v>50</v>
      </c>
      <c r="C16" s="7" t="s">
        <v>13</v>
      </c>
      <c r="D16" s="7" t="s">
        <v>14</v>
      </c>
      <c r="E16" s="5" t="s">
        <v>52</v>
      </c>
    </row>
    <row r="17" spans="1:5">
      <c r="B17" s="2" t="s">
        <v>51</v>
      </c>
      <c r="C17" s="2">
        <f>+C14</f>
        <v>358695.65217391314</v>
      </c>
      <c r="D17" s="2">
        <f>+D14</f>
        <v>538043.47826086963</v>
      </c>
      <c r="E17" s="2">
        <f>SUM(C17:D17)</f>
        <v>896739.13043478271</v>
      </c>
    </row>
    <row r="18" spans="1:5">
      <c r="B18" s="2" t="s">
        <v>36</v>
      </c>
      <c r="C18" s="8">
        <f>+C4</f>
        <v>0.15</v>
      </c>
      <c r="D18" s="8">
        <f>+D4</f>
        <v>0.31818181818181818</v>
      </c>
    </row>
    <row r="19" spans="1:5">
      <c r="B19" s="2" t="s">
        <v>8</v>
      </c>
      <c r="C19" s="2">
        <f>+C17*C18</f>
        <v>53804.347826086967</v>
      </c>
      <c r="D19" s="2">
        <f>+D17*D18</f>
        <v>171195.65217391305</v>
      </c>
      <c r="E19" s="14">
        <f>SUM(C19:D19)</f>
        <v>225000.00000000003</v>
      </c>
    </row>
    <row r="20" spans="1:5">
      <c r="B20" s="2" t="s">
        <v>53</v>
      </c>
      <c r="E20" s="15">
        <v>-225000</v>
      </c>
    </row>
    <row r="21" spans="1:5" ht="18" thickBot="1">
      <c r="B21" s="2" t="s">
        <v>54</v>
      </c>
      <c r="E21" s="11">
        <f>SUM(E19:E20)</f>
        <v>0</v>
      </c>
    </row>
    <row r="22" spans="1:5" ht="18" thickTop="1">
      <c r="E22" s="16"/>
    </row>
    <row r="23" spans="1:5">
      <c r="E23" s="16"/>
    </row>
    <row r="24" spans="1:5" ht="19.5">
      <c r="A24" s="5" t="s">
        <v>55</v>
      </c>
      <c r="D24" s="9"/>
    </row>
    <row r="25" spans="1:5" ht="19.5">
      <c r="A25" s="5"/>
      <c r="B25" s="5" t="s">
        <v>56</v>
      </c>
      <c r="D25" s="9"/>
    </row>
    <row r="26" spans="1:5" ht="19.5">
      <c r="A26" s="5"/>
      <c r="C26" s="7" t="s">
        <v>13</v>
      </c>
      <c r="D26" s="7" t="s">
        <v>14</v>
      </c>
    </row>
    <row r="27" spans="1:5" ht="19.5">
      <c r="A27" s="5"/>
      <c r="B27" s="2" t="s">
        <v>35</v>
      </c>
      <c r="C27" s="9">
        <v>0.4</v>
      </c>
      <c r="D27" s="9">
        <v>0.6</v>
      </c>
    </row>
    <row r="28" spans="1:5" ht="19.5">
      <c r="A28" s="5"/>
      <c r="B28" s="2" t="s">
        <v>36</v>
      </c>
      <c r="C28" s="9">
        <f>15%-5%</f>
        <v>9.9999999999999992E-2</v>
      </c>
      <c r="D28" s="13">
        <f>+D18-0.05</f>
        <v>0.26818181818181819</v>
      </c>
    </row>
    <row r="29" spans="1:5" ht="19.5">
      <c r="A29" s="5"/>
      <c r="B29" s="2" t="s">
        <v>37</v>
      </c>
      <c r="C29" s="9">
        <f>+C27*C28</f>
        <v>0.04</v>
      </c>
      <c r="D29" s="9">
        <f>+D27*D28</f>
        <v>0.16090909090909092</v>
      </c>
    </row>
    <row r="30" spans="1:5" ht="19.5">
      <c r="A30" s="5"/>
      <c r="B30" s="2" t="s">
        <v>43</v>
      </c>
      <c r="D30" s="9">
        <f>SUM(C29:D29)</f>
        <v>0.20090909090909093</v>
      </c>
    </row>
    <row r="31" spans="1:5" ht="19.5">
      <c r="A31" s="5"/>
      <c r="D31" s="9"/>
    </row>
    <row r="32" spans="1:5">
      <c r="B32" s="2" t="s">
        <v>45</v>
      </c>
      <c r="C32" s="2" t="s">
        <v>46</v>
      </c>
      <c r="D32" s="2">
        <v>200000</v>
      </c>
    </row>
    <row r="33" spans="1:5">
      <c r="B33" s="2" t="s">
        <v>47</v>
      </c>
      <c r="D33" s="9">
        <f>+D30</f>
        <v>0.20090909090909093</v>
      </c>
    </row>
    <row r="34" spans="1:5">
      <c r="B34" s="2" t="s">
        <v>48</v>
      </c>
      <c r="D34" s="2">
        <f>+D32/D33</f>
        <v>995475.11312217184</v>
      </c>
    </row>
    <row r="35" spans="1:5">
      <c r="D35" s="9"/>
    </row>
    <row r="36" spans="1:5">
      <c r="B36" s="2" t="s">
        <v>49</v>
      </c>
      <c r="D36" s="9"/>
    </row>
    <row r="37" spans="1:5">
      <c r="B37" s="2" t="s">
        <v>12</v>
      </c>
      <c r="C37" s="2">
        <f>+D34*C27</f>
        <v>398190.04524886876</v>
      </c>
      <c r="D37" s="2">
        <f>+D34*D27</f>
        <v>597285.06787330308</v>
      </c>
    </row>
    <row r="39" spans="1:5" ht="19.5">
      <c r="B39" s="5" t="s">
        <v>50</v>
      </c>
      <c r="C39" s="7" t="s">
        <v>13</v>
      </c>
      <c r="D39" s="7" t="s">
        <v>14</v>
      </c>
      <c r="E39" s="5" t="s">
        <v>52</v>
      </c>
    </row>
    <row r="40" spans="1:5">
      <c r="B40" s="2" t="s">
        <v>51</v>
      </c>
      <c r="C40" s="2">
        <f>+C37</f>
        <v>398190.04524886876</v>
      </c>
      <c r="D40" s="2">
        <f>+D37</f>
        <v>597285.06787330308</v>
      </c>
      <c r="E40" s="2">
        <f>SUM(C40:D40)</f>
        <v>995475.11312217184</v>
      </c>
    </row>
    <row r="41" spans="1:5">
      <c r="B41" s="2" t="s">
        <v>36</v>
      </c>
      <c r="C41" s="8">
        <f>+C28</f>
        <v>9.9999999999999992E-2</v>
      </c>
      <c r="D41" s="8">
        <f>+D28</f>
        <v>0.26818181818181819</v>
      </c>
    </row>
    <row r="42" spans="1:5">
      <c r="B42" s="2" t="s">
        <v>8</v>
      </c>
      <c r="C42" s="2">
        <f>+C40*C41</f>
        <v>39819.00452488687</v>
      </c>
      <c r="D42" s="2">
        <f>+D40*D41</f>
        <v>160180.9954751131</v>
      </c>
      <c r="E42" s="14">
        <f>SUM(C42:D42)</f>
        <v>199999.99999999997</v>
      </c>
    </row>
    <row r="43" spans="1:5">
      <c r="B43" s="2" t="s">
        <v>53</v>
      </c>
      <c r="E43" s="15">
        <v>-200000</v>
      </c>
    </row>
    <row r="44" spans="1:5" ht="18" thickBot="1">
      <c r="B44" s="2" t="s">
        <v>54</v>
      </c>
      <c r="E44" s="11">
        <f>SUM(E42:E43)</f>
        <v>0</v>
      </c>
    </row>
    <row r="45" spans="1:5" ht="18" thickTop="1"/>
    <row r="46" spans="1:5" ht="19.5">
      <c r="A46" s="5" t="s">
        <v>57</v>
      </c>
    </row>
    <row r="47" spans="1:5">
      <c r="A47" s="2" t="s">
        <v>58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6"/>
  <sheetViews>
    <sheetView topLeftCell="A77" workbookViewId="0">
      <selection activeCell="D95" sqref="D95"/>
    </sheetView>
  </sheetViews>
  <sheetFormatPr defaultRowHeight="17.25"/>
  <cols>
    <col min="1" max="1" width="18.42578125" style="2" customWidth="1"/>
    <col min="2" max="2" width="10" style="2" bestFit="1" customWidth="1"/>
    <col min="3" max="4" width="15.28515625" style="2" bestFit="1" customWidth="1"/>
    <col min="5" max="5" width="11.7109375" style="2" bestFit="1" customWidth="1"/>
    <col min="6" max="6" width="10" style="2" bestFit="1" customWidth="1"/>
    <col min="7" max="7" width="17.28515625" style="2" bestFit="1" customWidth="1"/>
    <col min="8" max="16384" width="9.140625" style="2"/>
  </cols>
  <sheetData>
    <row r="1" spans="1:4">
      <c r="A1" s="7" t="s">
        <v>91</v>
      </c>
    </row>
    <row r="3" spans="1:4" ht="19.5">
      <c r="A3" s="5" t="s">
        <v>105</v>
      </c>
    </row>
    <row r="4" spans="1:4" ht="19.5">
      <c r="C4" s="5" t="s">
        <v>98</v>
      </c>
      <c r="D4" s="5" t="s">
        <v>99</v>
      </c>
    </row>
    <row r="5" spans="1:4">
      <c r="A5" s="2" t="s">
        <v>3</v>
      </c>
      <c r="C5" s="2">
        <v>1965</v>
      </c>
      <c r="D5" s="2">
        <v>1410</v>
      </c>
    </row>
    <row r="6" spans="1:4">
      <c r="A6" s="2" t="s">
        <v>106</v>
      </c>
      <c r="C6" s="2">
        <f>-4*25</f>
        <v>-100</v>
      </c>
      <c r="D6" s="2">
        <f>-3*25</f>
        <v>-75</v>
      </c>
    </row>
    <row r="7" spans="1:4">
      <c r="A7" s="2" t="s">
        <v>107</v>
      </c>
      <c r="C7" s="2">
        <f>-3.5*60</f>
        <v>-210</v>
      </c>
      <c r="D7" s="2">
        <f>-2.6*60</f>
        <v>-156</v>
      </c>
    </row>
    <row r="8" spans="1:4">
      <c r="A8" s="2" t="s">
        <v>108</v>
      </c>
      <c r="C8" s="2">
        <f>-2.4*250</f>
        <v>-600</v>
      </c>
      <c r="D8" s="2">
        <f>-2*250</f>
        <v>-500</v>
      </c>
    </row>
    <row r="9" spans="1:4">
      <c r="A9" s="2" t="s">
        <v>109</v>
      </c>
      <c r="C9" s="16">
        <f>-5*120</f>
        <v>-600</v>
      </c>
      <c r="D9" s="16">
        <f>-2.5*120</f>
        <v>-300</v>
      </c>
    </row>
    <row r="10" spans="1:4">
      <c r="A10" s="2" t="s">
        <v>110</v>
      </c>
      <c r="C10" s="4">
        <v>-125</v>
      </c>
      <c r="D10" s="4">
        <v>-60</v>
      </c>
    </row>
    <row r="11" spans="1:4">
      <c r="A11" s="2" t="s">
        <v>5</v>
      </c>
      <c r="C11" s="2">
        <f>SUM(C5:C10)</f>
        <v>330</v>
      </c>
      <c r="D11" s="2">
        <f>SUM(D5:D10)</f>
        <v>319</v>
      </c>
    </row>
    <row r="14" spans="1:4">
      <c r="A14" s="7" t="s">
        <v>92</v>
      </c>
    </row>
    <row r="16" spans="1:4">
      <c r="A16" s="7" t="s">
        <v>93</v>
      </c>
    </row>
    <row r="18" spans="1:5" ht="19.5">
      <c r="A18" s="20" t="s">
        <v>97</v>
      </c>
      <c r="C18" s="5" t="s">
        <v>98</v>
      </c>
      <c r="D18" s="5" t="s">
        <v>99</v>
      </c>
    </row>
    <row r="19" spans="1:5">
      <c r="A19" s="2" t="s">
        <v>94</v>
      </c>
      <c r="C19" s="2">
        <v>25000</v>
      </c>
      <c r="D19" s="2">
        <v>24000</v>
      </c>
    </row>
    <row r="20" spans="1:5">
      <c r="A20" s="2" t="s">
        <v>95</v>
      </c>
      <c r="C20" s="4">
        <v>40000</v>
      </c>
      <c r="D20" s="4">
        <v>50000</v>
      </c>
    </row>
    <row r="21" spans="1:5">
      <c r="C21" s="2">
        <f>SUM(C19:C20)</f>
        <v>65000</v>
      </c>
      <c r="D21" s="2">
        <f>SUM(D19:D20)</f>
        <v>74000</v>
      </c>
    </row>
    <row r="22" spans="1:5">
      <c r="A22" s="2" t="s">
        <v>96</v>
      </c>
      <c r="C22" s="1">
        <v>3.5</v>
      </c>
      <c r="D22" s="1">
        <v>2.6</v>
      </c>
    </row>
    <row r="23" spans="1:5">
      <c r="A23" s="2" t="s">
        <v>100</v>
      </c>
      <c r="C23" s="2">
        <f>+C21*C22</f>
        <v>227500</v>
      </c>
      <c r="D23" s="2">
        <f>+D21*D22</f>
        <v>192400</v>
      </c>
      <c r="E23" s="2">
        <f>SUM(C23:D23)</f>
        <v>419900</v>
      </c>
    </row>
    <row r="24" spans="1:5">
      <c r="A24" s="2" t="s">
        <v>101</v>
      </c>
      <c r="E24" s="4">
        <f>-27700*12</f>
        <v>-332400</v>
      </c>
    </row>
    <row r="25" spans="1:5">
      <c r="A25" s="2" t="s">
        <v>102</v>
      </c>
      <c r="E25" s="2">
        <f>SUM(E23:E24)</f>
        <v>87500</v>
      </c>
    </row>
    <row r="27" spans="1:5">
      <c r="A27" s="7" t="s">
        <v>103</v>
      </c>
    </row>
    <row r="29" spans="1:5" ht="19.5">
      <c r="A29" s="20" t="s">
        <v>97</v>
      </c>
      <c r="C29" s="5" t="s">
        <v>98</v>
      </c>
      <c r="D29" s="5" t="s">
        <v>99</v>
      </c>
    </row>
    <row r="30" spans="1:5">
      <c r="A30" s="2" t="s">
        <v>94</v>
      </c>
      <c r="C30" s="2">
        <v>25000</v>
      </c>
      <c r="D30" s="2">
        <v>24000</v>
      </c>
    </row>
    <row r="31" spans="1:5">
      <c r="A31" s="2" t="s">
        <v>95</v>
      </c>
      <c r="C31" s="4">
        <v>40000</v>
      </c>
      <c r="D31" s="4">
        <v>50000</v>
      </c>
    </row>
    <row r="32" spans="1:5">
      <c r="C32" s="2">
        <f>SUM(C30:C31)</f>
        <v>65000</v>
      </c>
      <c r="D32" s="2">
        <f>SUM(D30:D31)</f>
        <v>74000</v>
      </c>
    </row>
    <row r="33" spans="1:5">
      <c r="A33" s="2" t="s">
        <v>96</v>
      </c>
      <c r="C33" s="1">
        <v>2.4</v>
      </c>
      <c r="D33" s="1">
        <v>2</v>
      </c>
    </row>
    <row r="34" spans="1:5">
      <c r="A34" s="2" t="s">
        <v>100</v>
      </c>
      <c r="C34" s="2">
        <f>+C32*C33</f>
        <v>156000</v>
      </c>
      <c r="D34" s="2">
        <f>+D32*D33</f>
        <v>148000</v>
      </c>
      <c r="E34" s="2">
        <f>SUM(C34:D34)</f>
        <v>304000</v>
      </c>
    </row>
    <row r="35" spans="1:5">
      <c r="A35" s="2" t="s">
        <v>101</v>
      </c>
      <c r="E35" s="4">
        <f>-8*25*3*12*35</f>
        <v>-252000</v>
      </c>
    </row>
    <row r="36" spans="1:5">
      <c r="A36" s="2" t="s">
        <v>102</v>
      </c>
      <c r="E36" s="2">
        <f>SUM(E34:E35)</f>
        <v>52000</v>
      </c>
    </row>
    <row r="39" spans="1:5" ht="19.5">
      <c r="A39" s="5" t="s">
        <v>104</v>
      </c>
    </row>
    <row r="41" spans="1:5" ht="19.5">
      <c r="A41" s="18" t="s">
        <v>111</v>
      </c>
    </row>
    <row r="42" spans="1:5" ht="19.5">
      <c r="B42" s="18" t="s">
        <v>7</v>
      </c>
      <c r="C42" s="18" t="s">
        <v>112</v>
      </c>
      <c r="D42" s="18" t="s">
        <v>8</v>
      </c>
    </row>
    <row r="43" spans="1:5">
      <c r="A43" s="2" t="s">
        <v>98</v>
      </c>
      <c r="B43" s="2">
        <f>+C19</f>
        <v>25000</v>
      </c>
      <c r="C43" s="22">
        <f>+C11+(2100-1965)</f>
        <v>465</v>
      </c>
      <c r="D43" s="2">
        <f>+B43*C43</f>
        <v>11625000</v>
      </c>
    </row>
    <row r="44" spans="1:5">
      <c r="A44" s="2" t="s">
        <v>99</v>
      </c>
      <c r="B44" s="2">
        <f>+D19</f>
        <v>24000</v>
      </c>
      <c r="C44" s="22">
        <f>+D11+90</f>
        <v>409</v>
      </c>
      <c r="D44" s="2">
        <f>+B44*C44</f>
        <v>9816000</v>
      </c>
    </row>
    <row r="45" spans="1:5" ht="18" thickBot="1">
      <c r="D45" s="11">
        <f>SUM(D43:D44)</f>
        <v>21441000</v>
      </c>
    </row>
    <row r="46" spans="1:5" ht="18" thickTop="1"/>
    <row r="47" spans="1:5" ht="19.5">
      <c r="A47" s="18" t="s">
        <v>113</v>
      </c>
    </row>
    <row r="48" spans="1:5" ht="19.5">
      <c r="B48" s="18" t="s">
        <v>7</v>
      </c>
      <c r="C48" s="18" t="s">
        <v>114</v>
      </c>
      <c r="D48" s="18" t="s">
        <v>115</v>
      </c>
    </row>
    <row r="49" spans="1:4">
      <c r="A49" s="2" t="s">
        <v>98</v>
      </c>
      <c r="B49" s="2">
        <f>+B43</f>
        <v>25000</v>
      </c>
      <c r="C49" s="1">
        <v>3.5</v>
      </c>
      <c r="D49" s="2">
        <f>+B49*C49</f>
        <v>87500</v>
      </c>
    </row>
    <row r="50" spans="1:4">
      <c r="A50" s="2" t="s">
        <v>99</v>
      </c>
      <c r="B50" s="2">
        <f>+B44</f>
        <v>24000</v>
      </c>
      <c r="C50" s="1">
        <v>2.6</v>
      </c>
      <c r="D50" s="2">
        <f>+B50*C50</f>
        <v>62400</v>
      </c>
    </row>
    <row r="51" spans="1:4" ht="18" thickBot="1">
      <c r="D51" s="11">
        <f>SUM(D49:D50)</f>
        <v>149900</v>
      </c>
    </row>
    <row r="52" spans="1:4" ht="18" thickTop="1"/>
    <row r="53" spans="1:4" ht="19.5">
      <c r="A53" s="18" t="s">
        <v>116</v>
      </c>
    </row>
    <row r="54" spans="1:4" ht="19.5">
      <c r="B54" s="18" t="s">
        <v>7</v>
      </c>
      <c r="C54" s="18" t="s">
        <v>114</v>
      </c>
      <c r="D54" s="18" t="s">
        <v>115</v>
      </c>
    </row>
    <row r="55" spans="1:4">
      <c r="A55" s="2" t="s">
        <v>98</v>
      </c>
      <c r="B55" s="2">
        <f>+B49</f>
        <v>25000</v>
      </c>
      <c r="C55" s="1">
        <v>2.4</v>
      </c>
      <c r="D55" s="2">
        <f>+B55*C55</f>
        <v>60000</v>
      </c>
    </row>
    <row r="56" spans="1:4">
      <c r="A56" s="2" t="s">
        <v>99</v>
      </c>
      <c r="B56" s="2">
        <f>+B50</f>
        <v>24000</v>
      </c>
      <c r="C56" s="1">
        <v>2</v>
      </c>
      <c r="D56" s="2">
        <f>+B56*C56</f>
        <v>48000</v>
      </c>
    </row>
    <row r="57" spans="1:4" ht="18" thickBot="1">
      <c r="D57" s="11">
        <f>SUM(D55:D56)</f>
        <v>108000</v>
      </c>
    </row>
    <row r="58" spans="1:4" ht="18" thickTop="1"/>
    <row r="59" spans="1:4">
      <c r="A59" s="2" t="s">
        <v>117</v>
      </c>
      <c r="D59" s="2">
        <f>-D51-E24</f>
        <v>182500</v>
      </c>
    </row>
    <row r="60" spans="1:4">
      <c r="A60" s="2" t="s">
        <v>118</v>
      </c>
      <c r="D60" s="2">
        <f>+E35*-1-D57</f>
        <v>144000</v>
      </c>
    </row>
    <row r="62" spans="1:4" ht="19.5">
      <c r="A62" s="5" t="s">
        <v>119</v>
      </c>
    </row>
    <row r="63" spans="1:4" ht="19.5">
      <c r="A63" s="5"/>
    </row>
    <row r="64" spans="1:4" ht="19.5">
      <c r="A64" s="5" t="s">
        <v>132</v>
      </c>
    </row>
    <row r="66" spans="1:7" ht="35.25" customHeight="1">
      <c r="A66" s="21" t="s">
        <v>120</v>
      </c>
      <c r="B66" s="21" t="s">
        <v>121</v>
      </c>
      <c r="C66" s="21" t="s">
        <v>122</v>
      </c>
      <c r="D66" s="21" t="s">
        <v>123</v>
      </c>
      <c r="E66" s="21" t="s">
        <v>124</v>
      </c>
      <c r="F66" s="21" t="s">
        <v>125</v>
      </c>
      <c r="G66" s="21" t="s">
        <v>5</v>
      </c>
    </row>
    <row r="67" spans="1:7">
      <c r="A67" s="2" t="s">
        <v>98</v>
      </c>
      <c r="B67" s="2">
        <f>+C20</f>
        <v>40000</v>
      </c>
      <c r="C67" s="2">
        <f>+B67*3.5</f>
        <v>140000</v>
      </c>
      <c r="D67" s="2">
        <f>+B67*2.4</f>
        <v>96000</v>
      </c>
      <c r="E67" s="2">
        <f>+D59-C67</f>
        <v>42500</v>
      </c>
      <c r="F67" s="2">
        <f>+D60-D67</f>
        <v>48000</v>
      </c>
      <c r="G67" s="2">
        <f>+B67*C11</f>
        <v>13200000</v>
      </c>
    </row>
    <row r="68" spans="1:7">
      <c r="A68" s="2" t="s">
        <v>99</v>
      </c>
      <c r="B68" s="2">
        <f>+B71</f>
        <v>16346.153846153846</v>
      </c>
      <c r="C68" s="2">
        <f>+B68*2.6</f>
        <v>42500</v>
      </c>
      <c r="D68" s="2">
        <f>+B68*2</f>
        <v>32692.307692307691</v>
      </c>
      <c r="E68" s="2">
        <f>+E67-C68</f>
        <v>0</v>
      </c>
      <c r="F68" s="2">
        <f>+F67-D68</f>
        <v>15307.692307692309</v>
      </c>
      <c r="G68" s="2">
        <f>+B68*D11</f>
        <v>5214423.076923077</v>
      </c>
    </row>
    <row r="69" spans="1:7" ht="18" thickBot="1">
      <c r="G69" s="11">
        <f>SUM(G67:G68)</f>
        <v>18414423.076923076</v>
      </c>
    </row>
    <row r="70" spans="1:7" ht="20.25" thickTop="1">
      <c r="A70" s="18" t="s">
        <v>126</v>
      </c>
    </row>
    <row r="71" spans="1:7">
      <c r="A71" s="2" t="s">
        <v>127</v>
      </c>
      <c r="B71" s="22">
        <f>+E67/2.6</f>
        <v>16346.153846153846</v>
      </c>
      <c r="C71" s="2" t="s">
        <v>129</v>
      </c>
    </row>
    <row r="72" spans="1:7">
      <c r="A72" s="2" t="s">
        <v>128</v>
      </c>
      <c r="B72" s="2">
        <f>+F67/2</f>
        <v>24000</v>
      </c>
    </row>
    <row r="74" spans="1:7" ht="19.5">
      <c r="A74" s="5" t="s">
        <v>133</v>
      </c>
    </row>
    <row r="76" spans="1:7" ht="58.5">
      <c r="A76" s="21" t="s">
        <v>120</v>
      </c>
      <c r="B76" s="21" t="s">
        <v>121</v>
      </c>
      <c r="C76" s="21" t="s">
        <v>122</v>
      </c>
      <c r="D76" s="21" t="s">
        <v>123</v>
      </c>
      <c r="E76" s="21" t="s">
        <v>124</v>
      </c>
      <c r="F76" s="21" t="s">
        <v>125</v>
      </c>
      <c r="G76" s="21" t="s">
        <v>5</v>
      </c>
    </row>
    <row r="77" spans="1:7">
      <c r="A77" s="2" t="s">
        <v>99</v>
      </c>
      <c r="B77" s="2">
        <f>+D20</f>
        <v>50000</v>
      </c>
      <c r="C77" s="2">
        <f>+B77*2.6</f>
        <v>130000</v>
      </c>
      <c r="D77" s="2">
        <f>+B77*2</f>
        <v>100000</v>
      </c>
      <c r="E77" s="2">
        <f>+D59-C77</f>
        <v>52500</v>
      </c>
      <c r="F77" s="2">
        <f>+D60-D77</f>
        <v>44000</v>
      </c>
      <c r="G77" s="2">
        <f>+B77*D11</f>
        <v>15950000</v>
      </c>
    </row>
    <row r="78" spans="1:7">
      <c r="A78" s="2" t="s">
        <v>98</v>
      </c>
      <c r="B78" s="2">
        <f>+B81</f>
        <v>15000</v>
      </c>
      <c r="C78" s="2">
        <f>+B78*3.5</f>
        <v>52500</v>
      </c>
      <c r="D78" s="2">
        <f>+B78*2</f>
        <v>30000</v>
      </c>
      <c r="E78" s="2">
        <f>+E77-C78</f>
        <v>0</v>
      </c>
      <c r="F78" s="2">
        <f>+F77-D78</f>
        <v>14000</v>
      </c>
      <c r="G78" s="2">
        <f>+B78*D11</f>
        <v>4785000</v>
      </c>
    </row>
    <row r="79" spans="1:7" ht="18" thickBot="1">
      <c r="G79" s="11">
        <f>SUM(G77:G78)</f>
        <v>20735000</v>
      </c>
    </row>
    <row r="80" spans="1:7" ht="20.25" thickTop="1">
      <c r="A80" s="18" t="s">
        <v>126</v>
      </c>
    </row>
    <row r="81" spans="1:4">
      <c r="A81" s="2" t="s">
        <v>127</v>
      </c>
      <c r="B81" s="22">
        <f>+E77/3.5</f>
        <v>15000</v>
      </c>
      <c r="C81" s="2" t="s">
        <v>129</v>
      </c>
    </row>
    <row r="82" spans="1:4">
      <c r="A82" s="2" t="s">
        <v>128</v>
      </c>
      <c r="B82" s="2">
        <f>+F77/2.4</f>
        <v>18333.333333333336</v>
      </c>
    </row>
    <row r="84" spans="1:4" ht="19.5">
      <c r="A84" s="5" t="s">
        <v>130</v>
      </c>
    </row>
    <row r="85" spans="1:4">
      <c r="A85" s="2" t="s">
        <v>178</v>
      </c>
    </row>
    <row r="87" spans="1:4" ht="19.5">
      <c r="A87" s="5" t="s">
        <v>131</v>
      </c>
    </row>
    <row r="89" spans="1:4" ht="19.5">
      <c r="C89" s="5" t="s">
        <v>134</v>
      </c>
      <c r="D89" s="5" t="s">
        <v>135</v>
      </c>
    </row>
    <row r="90" spans="1:4">
      <c r="A90" s="2" t="s">
        <v>136</v>
      </c>
      <c r="C90" s="2">
        <f>+D43</f>
        <v>11625000</v>
      </c>
      <c r="D90" s="2">
        <f>+C90</f>
        <v>11625000</v>
      </c>
    </row>
    <row r="91" spans="1:4">
      <c r="A91" s="2" t="s">
        <v>137</v>
      </c>
      <c r="C91" s="2">
        <f>+D44</f>
        <v>9816000</v>
      </c>
      <c r="D91" s="2">
        <f>+C91</f>
        <v>9816000</v>
      </c>
    </row>
    <row r="92" spans="1:4">
      <c r="A92" s="2" t="s">
        <v>138</v>
      </c>
      <c r="C92" s="2">
        <f>+G67</f>
        <v>13200000</v>
      </c>
      <c r="D92" s="2">
        <f>+G77</f>
        <v>15950000</v>
      </c>
    </row>
    <row r="93" spans="1:4">
      <c r="A93" s="2" t="s">
        <v>139</v>
      </c>
      <c r="C93" s="2">
        <f>+G68</f>
        <v>5214423.076923077</v>
      </c>
      <c r="D93" s="2">
        <f>+G78</f>
        <v>4785000</v>
      </c>
    </row>
    <row r="94" spans="1:4">
      <c r="A94" s="2" t="s">
        <v>140</v>
      </c>
      <c r="C94" s="2">
        <f>-3000000*12</f>
        <v>-36000000</v>
      </c>
      <c r="D94" s="2">
        <f>-3000000*12</f>
        <v>-36000000</v>
      </c>
    </row>
    <row r="95" spans="1:4" ht="18" thickBot="1">
      <c r="A95" s="2" t="s">
        <v>54</v>
      </c>
      <c r="C95" s="11">
        <f>SUM(C90:C94)</f>
        <v>3855423.0769230798</v>
      </c>
      <c r="D95" s="11">
        <f>SUM(D90:D94)</f>
        <v>6176000</v>
      </c>
    </row>
    <row r="96" spans="1:4" ht="18" thickTop="1">
      <c r="C96" s="2" t="s">
        <v>141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Question 1</vt:lpstr>
      <vt:lpstr>Question 2</vt:lpstr>
      <vt:lpstr>Question 4</vt:lpstr>
      <vt:lpstr>Question 5</vt:lpstr>
      <vt:lpstr>Question 6</vt:lpstr>
      <vt:lpstr>Question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Raza</dc:creator>
  <cp:lastModifiedBy>Ahmed Raza</cp:lastModifiedBy>
  <cp:lastPrinted>2014-03-08T02:12:27Z</cp:lastPrinted>
  <dcterms:created xsi:type="dcterms:W3CDTF">2014-03-07T09:14:43Z</dcterms:created>
  <dcterms:modified xsi:type="dcterms:W3CDTF">2014-03-08T09:09:17Z</dcterms:modified>
</cp:coreProperties>
</file>