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firstSheet="7" activeTab="19"/>
  </bookViews>
  <sheets>
    <sheet name="Unit Conversion" sheetId="1" r:id="rId1"/>
    <sheet name="Calendar" sheetId="2" r:id="rId2"/>
    <sheet name="Checkbook Balance" sheetId="3" r:id="rId3"/>
    <sheet name="Loan Payment" sheetId="4" r:id="rId4"/>
    <sheet name="BMI &amp; Calorie" sheetId="5" r:id="rId5"/>
    <sheet name="Blood Pressure" sheetId="6" r:id="rId6"/>
    <sheet name="Conversion" sheetId="7" r:id="rId7"/>
    <sheet name="Convert" sheetId="8" r:id="rId8"/>
    <sheet name="Right Triangle" sheetId="9" r:id="rId9"/>
    <sheet name="Tap Drill" sheetId="10" r:id="rId10"/>
    <sheet name="Drill Bit Equivalence" sheetId="11" r:id="rId11"/>
    <sheet name="Chart 1" sheetId="12" r:id="rId12"/>
    <sheet name="Chart 2" sheetId="13" r:id="rId13"/>
    <sheet name="Bolt Circle" sheetId="14" r:id="rId14"/>
    <sheet name="Spiral" sheetId="15" r:id="rId15"/>
    <sheet name="Rotate" sheetId="16" r:id="rId16"/>
    <sheet name="Cone Fab" sheetId="17" r:id="rId17"/>
    <sheet name="Circle Segment" sheetId="18" r:id="rId18"/>
    <sheet name="Polygon" sheetId="19" r:id="rId19"/>
    <sheet name="Trig Function" sheetId="20" r:id="rId20"/>
    <sheet name="Data" sheetId="21" state="hidden" r:id="rId21"/>
  </sheets>
  <definedNames>
    <definedName name="_Order1" hidden="1">255</definedName>
    <definedName name="_Order2" hidden="1">255</definedName>
    <definedName name="CELLNOTE0" localSheetId="13">'Bolt Circle'!#REF!</definedName>
    <definedName name="CELLNOTE0" localSheetId="14">'Spiral'!#REF!</definedName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13">'Bolt Circle'!$B$1:$K$52</definedName>
    <definedName name="_xlnm.Print_Area" localSheetId="1">'Calendar'!$A$10:$AB$72</definedName>
    <definedName name="_xlnm.Print_Area" localSheetId="6">'Conversion'!$B$1:$I$20</definedName>
    <definedName name="_xlnm.Print_Area" localSheetId="7">'Convert'!$B$2:$C$9</definedName>
    <definedName name="_xlnm.Print_Area" localSheetId="3">OFFSET('Loan Payment'!$A$1,0,0,(COUNTIF('Loan Payment'!$I$12:$I$383,"=End of year*")*12)+11,9)</definedName>
    <definedName name="_xlnm.Print_Area" localSheetId="8">'Right Triangle'!$B$1:$I$21</definedName>
    <definedName name="_xlnm.Print_Area" localSheetId="14">'Spiral'!$B$1:$S$53</definedName>
    <definedName name="_xlnm.Print_Area" localSheetId="0">'Unit Conversion'!$A$1:$U$24</definedName>
    <definedName name="_xlnm.Print_Titles" localSheetId="3">'Loan Payment'!$10:$11</definedName>
  </definedNames>
  <calcPr fullCalcOnLoad="1" refMode="R1C1"/>
</workbook>
</file>

<file path=xl/comments14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5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<sst xmlns="http://schemas.openxmlformats.org/spreadsheetml/2006/main" count="3285" uniqueCount="1143">
  <si>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</si>
  <si>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</si>
  <si>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</si>
  <si>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</si>
  <si>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</si>
  <si>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</si>
  <si>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</si>
  <si>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</si>
  <si>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</si>
  <si>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</si>
  <si>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</si>
  <si>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</si>
  <si>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</si>
  <si>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</si>
  <si>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</si>
  <si>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</si>
  <si>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</si>
  <si>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</si>
  <si>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</si>
  <si>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</si>
  <si>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</si>
  <si>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</si>
  <si>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</si>
  <si>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</si>
  <si>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</si>
  <si>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</si>
  <si>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</si>
  <si>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</si>
  <si>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</si>
  <si>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</si>
  <si>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</si>
  <si>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</si>
  <si>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</si>
  <si>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</si>
  <si>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</si>
  <si>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</si>
  <si>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</si>
  <si>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</si>
  <si>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</si>
  <si>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</si>
  <si>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</si>
  <si>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</si>
  <si>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</si>
  <si>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</si>
  <si>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</si>
  <si>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</si>
  <si>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</si>
  <si>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</si>
  <si>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</si>
  <si>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</si>
  <si>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</si>
  <si>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</si>
  <si>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</si>
  <si>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</si>
  <si>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</si>
  <si>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</si>
  <si>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</si>
  <si>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</si>
  <si>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</si>
  <si>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</si>
  <si>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</si>
  <si>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</si>
  <si>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</si>
  <si>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</si>
  <si>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</si>
  <si>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</si>
  <si>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</si>
  <si>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</si>
  <si>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</si>
  <si>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</si>
  <si>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</si>
  <si>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</si>
  <si>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</si>
  <si>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</si>
  <si>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</si>
  <si>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</si>
  <si>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</si>
  <si>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</si>
  <si>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</si>
  <si>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</si>
  <si>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</si>
  <si>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</si>
  <si>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</si>
  <si>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</si>
  <si>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</si>
  <si>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</si>
  <si>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</si>
  <si>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</si>
  <si>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</si>
  <si>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</si>
  <si>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</si>
  <si>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</si>
  <si>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</si>
  <si>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</si>
  <si>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</si>
  <si>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</si>
  <si>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</si>
  <si>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</si>
  <si>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</si>
  <si>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</si>
  <si>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</si>
  <si>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</si>
  <si>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</si>
  <si>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</si>
  <si>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</si>
  <si>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</si>
  <si>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</si>
  <si>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</si>
  <si>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</si>
  <si>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</si>
  <si>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</si>
  <si>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</si>
  <si>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</si>
  <si>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</si>
  <si>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</si>
  <si>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</si>
  <si>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</si>
  <si>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</si>
  <si>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</si>
  <si>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</si>
  <si>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</si>
  <si>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</si>
  <si>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</si>
  <si>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</si>
  <si>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</si>
  <si>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</si>
  <si>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</si>
  <si>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</si>
  <si>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</si>
  <si>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</si>
  <si>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</si>
  <si>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</si>
  <si>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</si>
  <si>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</si>
  <si>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</si>
  <si>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</si>
  <si>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</si>
  <si>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</si>
  <si>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</si>
  <si>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</si>
  <si>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</si>
  <si>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</si>
  <si>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</si>
  <si>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</si>
  <si>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</si>
  <si>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</si>
  <si>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</si>
  <si>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</si>
  <si>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</si>
  <si>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</si>
  <si>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</si>
  <si>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</si>
  <si>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</si>
  <si>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</si>
  <si>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</si>
  <si>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</si>
  <si>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</si>
  <si>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</si>
  <si>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</si>
  <si>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</si>
  <si>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</si>
  <si>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</si>
  <si>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</si>
  <si>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</si>
  <si>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</si>
  <si>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</si>
  <si>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</si>
  <si>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</si>
  <si>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</si>
  <si>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</si>
  <si>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</si>
  <si>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</si>
  <si>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</si>
  <si>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</si>
  <si>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</si>
  <si>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</si>
  <si>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</si>
  <si>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</si>
  <si>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</si>
  <si>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</si>
  <si>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</si>
  <si>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</si>
  <si>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</si>
  <si>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</si>
  <si>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</si>
  <si>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</si>
  <si>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</si>
  <si>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</si>
  <si>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</si>
  <si>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</si>
  <si>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</si>
  <si>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</si>
  <si>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</si>
  <si>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</si>
  <si>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</si>
  <si>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</si>
  <si>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</si>
  <si>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</si>
  <si>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</si>
  <si>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</si>
  <si>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</si>
  <si>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</si>
  <si>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</si>
  <si>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</si>
  <si>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</si>
  <si>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</si>
  <si>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</si>
  <si>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</si>
  <si>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</si>
  <si>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</si>
  <si>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</si>
  <si>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</si>
  <si>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</si>
  <si>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</si>
  <si>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</si>
  <si>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</si>
  <si>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</si>
  <si>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</si>
  <si>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</si>
  <si>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</si>
  <si>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</si>
  <si>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</si>
  <si>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</si>
  <si>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</si>
  <si>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</si>
  <si>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</si>
  <si>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</si>
  <si>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</si>
  <si>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</si>
  <si>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</si>
  <si>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</si>
  <si>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</si>
  <si>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</si>
  <si>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</si>
  <si>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</si>
  <si>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</si>
  <si>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</si>
  <si>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</si>
  <si>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</si>
  <si>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</si>
  <si>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</si>
  <si>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</si>
  <si>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</si>
  <si>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</si>
  <si>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</si>
  <si>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</si>
  <si>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</si>
  <si>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</si>
  <si>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</si>
  <si>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</si>
  <si>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</si>
  <si>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</si>
  <si>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</si>
  <si>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</si>
  <si>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</si>
  <si>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</si>
  <si>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</si>
  <si>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</si>
  <si>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</si>
  <si>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</si>
  <si>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</si>
  <si>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</si>
  <si>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</si>
  <si>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</si>
  <si>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</si>
  <si>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</si>
  <si>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</si>
  <si>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</si>
  <si>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</si>
  <si>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</si>
  <si>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</si>
  <si>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</si>
  <si>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</si>
  <si>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</si>
  <si>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</si>
  <si>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</si>
  <si>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</si>
  <si>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</si>
  <si>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</si>
  <si>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</si>
  <si>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</si>
  <si>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</si>
  <si>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</si>
  <si>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</si>
  <si>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</si>
  <si>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</si>
  <si>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</si>
  <si>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</si>
  <si>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</si>
  <si>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</si>
  <si>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</si>
  <si>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</si>
  <si>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</si>
  <si>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</si>
  <si>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</si>
  <si>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</si>
  <si>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</si>
  <si>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</si>
  <si>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</si>
  <si>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</si>
  <si>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</si>
  <si>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</si>
  <si>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</si>
  <si>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</si>
  <si>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</si>
  <si>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</si>
  <si>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</si>
  <si>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</si>
  <si>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</si>
  <si>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</si>
  <si>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</si>
  <si>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</si>
  <si>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</si>
  <si>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</si>
  <si>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</si>
  <si>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</si>
  <si>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</si>
  <si>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</si>
  <si>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</si>
  <si>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</si>
  <si>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</si>
  <si>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</si>
  <si>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</si>
  <si>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</si>
  <si>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</si>
  <si>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</si>
  <si>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</si>
  <si>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</si>
  <si>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</si>
  <si>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</si>
  <si>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</si>
  <si>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</si>
  <si>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</si>
  <si>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</si>
  <si>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</si>
  <si>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</si>
  <si>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</si>
  <si>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</si>
  <si>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</si>
  <si>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</si>
  <si>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</si>
  <si>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</si>
  <si>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</si>
  <si>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</si>
  <si>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</si>
  <si>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</si>
  <si>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</si>
  <si>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</si>
  <si>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</si>
  <si>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</si>
  <si>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</si>
  <si>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</si>
  <si>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</si>
  <si>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</si>
  <si>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</si>
  <si>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</si>
  <si>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</si>
  <si>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</si>
  <si>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</si>
  <si>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</si>
  <si>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</si>
  <si>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</si>
  <si>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</si>
  <si>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</si>
  <si>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</si>
  <si>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</si>
  <si>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</si>
  <si>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</si>
  <si>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</si>
  <si>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</si>
  <si>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</si>
  <si>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</si>
  <si>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</si>
  <si>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</si>
  <si>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</si>
  <si>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</si>
  <si>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</si>
  <si>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</si>
  <si>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</si>
  <si>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</si>
  <si>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</si>
  <si>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</si>
  <si>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</si>
  <si>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</si>
  <si>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</si>
  <si>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</si>
  <si>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</si>
  <si>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</si>
  <si>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</si>
  <si>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</si>
  <si>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</si>
  <si>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</si>
  <si>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</si>
  <si>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</si>
  <si>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</si>
  <si>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</si>
  <si>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</si>
  <si>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</si>
  <si>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</si>
  <si>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</si>
  <si>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</si>
  <si>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</si>
  <si>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</si>
  <si>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</si>
  <si>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</si>
  <si>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</si>
  <si>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</si>
  <si>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</si>
  <si>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</si>
  <si>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</si>
  <si>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</si>
  <si>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</si>
  <si>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</si>
  <si>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</si>
  <si>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</si>
  <si>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</si>
  <si>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</si>
  <si>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</si>
  <si>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</si>
  <si>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</si>
  <si>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</si>
  <si>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</si>
  <si>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</si>
  <si>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</si>
  <si>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</si>
  <si>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</si>
  <si>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</si>
  <si>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</si>
  <si>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</si>
  <si>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</si>
  <si>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</si>
  <si>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</si>
  <si>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</si>
  <si>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</si>
  <si>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</si>
  <si>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</si>
  <si>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</si>
  <si>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</si>
  <si>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</si>
  <si>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</si>
  <si>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</si>
  <si>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</si>
  <si>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</si>
  <si>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</si>
  <si>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</si>
  <si>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</si>
  <si>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</si>
  <si>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</si>
  <si>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</si>
  <si>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</si>
  <si>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</si>
  <si>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</si>
  <si>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</si>
  <si>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</si>
  <si>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</si>
  <si>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</si>
  <si>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</si>
  <si>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</si>
  <si>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</si>
  <si>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</si>
  <si>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</si>
  <si>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</si>
  <si>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</si>
  <si>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</si>
  <si>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</si>
  <si>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</si>
  <si>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</si>
  <si>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</si>
  <si>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</si>
  <si>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</si>
  <si>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</si>
  <si>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</si>
  <si>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</si>
  <si>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</si>
  <si>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</si>
  <si>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</si>
  <si>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</si>
  <si>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</si>
  <si>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</si>
  <si>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</si>
  <si>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</si>
  <si>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</si>
  <si>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</si>
  <si>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</si>
  <si>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</si>
  <si>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</si>
  <si>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</si>
  <si>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</si>
  <si>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</si>
  <si>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</si>
  <si>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</si>
  <si>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</si>
  <si>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</si>
  <si>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</si>
  <si>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</si>
  <si>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</si>
  <si>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</si>
  <si>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</si>
  <si>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</si>
  <si>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</si>
  <si>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</si>
  <si>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</si>
  <si>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</si>
  <si>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</si>
  <si>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</si>
  <si>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</si>
  <si>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</si>
  <si>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</si>
  <si>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</si>
  <si>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</si>
  <si>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</si>
  <si>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</si>
  <si>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</si>
  <si>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</si>
  <si>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</si>
  <si>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</si>
  <si>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</si>
  <si>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</si>
  <si>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</si>
  <si>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</si>
  <si>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</si>
  <si>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</si>
  <si>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</si>
  <si>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</si>
  <si>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</si>
  <si>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</si>
  <si>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</si>
  <si>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</si>
  <si>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</si>
  <si>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</si>
  <si>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</si>
  <si>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</si>
  <si>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</si>
  <si>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</si>
  <si>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</si>
  <si>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</si>
  <si>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</si>
  <si>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</si>
  <si>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</si>
  <si>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</si>
  <si>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</si>
  <si>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</si>
  <si>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</si>
  <si>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</si>
  <si>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</si>
  <si>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</si>
  <si>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</si>
  <si>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</si>
  <si>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</si>
  <si>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</si>
  <si>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</si>
  <si>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</si>
  <si>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</si>
  <si>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</si>
  <si>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</si>
  <si>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</si>
  <si>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</si>
  <si>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</si>
  <si>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</si>
  <si>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</si>
  <si>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</si>
  <si>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</si>
  <si>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</si>
  <si>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</si>
  <si>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</si>
  <si>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</si>
  <si>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</si>
  <si>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</si>
  <si>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</si>
  <si>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</si>
  <si>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</si>
  <si>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</si>
  <si>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</si>
  <si>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</si>
  <si>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</si>
  <si>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</si>
  <si>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</si>
  <si>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</si>
  <si>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</si>
  <si>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</si>
  <si>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</si>
  <si>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</si>
  <si>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</si>
  <si>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</si>
  <si>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</si>
  <si>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</si>
  <si>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</si>
  <si>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</si>
  <si>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</si>
  <si>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</si>
  <si>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</si>
  <si>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</si>
  <si>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</si>
  <si>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</si>
  <si>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</si>
  <si>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</si>
  <si>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</si>
  <si>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</si>
  <si>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</si>
  <si>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</si>
  <si>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</si>
  <si>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</si>
  <si>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</si>
  <si>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</si>
  <si>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</si>
  <si>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</si>
  <si>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</si>
  <si>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</si>
  <si>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</si>
  <si>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</si>
  <si>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</si>
  <si>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</si>
  <si>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</si>
  <si>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</si>
  <si>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</si>
  <si>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</si>
  <si>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</si>
  <si>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</si>
  <si>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</si>
  <si>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</si>
  <si>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</si>
  <si>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</si>
  <si>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</si>
  <si>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</si>
  <si>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</si>
  <si>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</si>
  <si>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</si>
  <si>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</si>
  <si>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</si>
  <si>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</si>
  <si>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</si>
  <si>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</si>
  <si>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</si>
  <si>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</si>
  <si>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</si>
  <si>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</si>
  <si>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</si>
  <si>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</si>
  <si>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</si>
  <si>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</si>
  <si>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</si>
  <si>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</si>
  <si>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</si>
  <si>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</si>
  <si>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</si>
  <si>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</si>
  <si>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</si>
  <si>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</si>
  <si>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</si>
  <si>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</si>
  <si>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</si>
  <si>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</si>
  <si>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</si>
  <si>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</si>
  <si>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</si>
  <si>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</si>
  <si>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</si>
  <si>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</si>
  <si>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</si>
  <si>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</si>
  <si>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</si>
  <si>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</si>
  <si>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</si>
  <si>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</si>
  <si>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</si>
  <si>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</si>
  <si>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</si>
  <si>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</si>
  <si>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</si>
  <si>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</si>
  <si>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</si>
  <si>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</si>
  <si>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</si>
  <si>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</si>
  <si>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</si>
  <si>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</si>
  <si>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</si>
  <si>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</si>
  <si>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</si>
  <si>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</si>
  <si>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</si>
  <si>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</si>
  <si>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</si>
  <si>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</si>
  <si>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</si>
  <si>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</si>
  <si>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</si>
  <si>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</si>
  <si>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</si>
  <si>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</si>
  <si>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</si>
  <si>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</si>
  <si>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</si>
  <si>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</si>
  <si>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</si>
  <si>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</si>
  <si>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</si>
  <si>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</si>
  <si>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</si>
  <si>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</si>
  <si>
    <t>Power</t>
  </si>
  <si>
    <t>Dynamic Viscosity</t>
  </si>
  <si>
    <t>Heat Flux</t>
  </si>
  <si>
    <t>mile</t>
  </si>
  <si>
    <t>MMscf / hr</t>
  </si>
  <si>
    <t>psi</t>
  </si>
  <si>
    <t>hp</t>
  </si>
  <si>
    <t>hp . hr</t>
  </si>
  <si>
    <t>Long Ton</t>
  </si>
  <si>
    <t>centipoise</t>
  </si>
  <si>
    <t>centistoke</t>
  </si>
  <si>
    <t>lb / sec</t>
  </si>
  <si>
    <t>Btu / hr . ft . F</t>
  </si>
  <si>
    <t>Btu / lb</t>
  </si>
  <si>
    <t>Btu / lb . F</t>
  </si>
  <si>
    <t>yard</t>
  </si>
  <si>
    <t>bbl</t>
  </si>
  <si>
    <t>MMscf / day</t>
  </si>
  <si>
    <t>in Hg</t>
  </si>
  <si>
    <t>hp  (metric)</t>
  </si>
  <si>
    <t>Btu</t>
  </si>
  <si>
    <t>Short Ton</t>
  </si>
  <si>
    <t>gr / ml</t>
  </si>
  <si>
    <t>poise</t>
  </si>
  <si>
    <t>stoke</t>
  </si>
  <si>
    <t>lb / min</t>
  </si>
  <si>
    <t>cal / sec . cm . C</t>
  </si>
  <si>
    <t>cal / gr</t>
  </si>
  <si>
    <t>cal / gr . C</t>
  </si>
  <si>
    <t>Volume</t>
  </si>
  <si>
    <t>Energy</t>
  </si>
  <si>
    <t>Kinematic Viscosity</t>
  </si>
  <si>
    <t>Specific Energy</t>
  </si>
  <si>
    <t>ft</t>
  </si>
  <si>
    <t>Mscf / hr</t>
  </si>
  <si>
    <t>mm Hg</t>
  </si>
  <si>
    <t>ton  (refrig.)</t>
  </si>
  <si>
    <t>Metric Ton</t>
  </si>
  <si>
    <t>gr / lit</t>
  </si>
  <si>
    <t>Pa . sec</t>
  </si>
  <si>
    <t>lb / hr</t>
  </si>
  <si>
    <t>watt / cm . C</t>
  </si>
  <si>
    <t>joule / gr</t>
  </si>
  <si>
    <t>joule / gr . C</t>
  </si>
  <si>
    <t>in</t>
  </si>
  <si>
    <t>gal  (Imperial)</t>
  </si>
  <si>
    <t>Mscf / day</t>
  </si>
  <si>
    <t>bbl / hr</t>
  </si>
  <si>
    <t>Btu / min</t>
  </si>
  <si>
    <t>kW .  hr</t>
  </si>
  <si>
    <t>lb</t>
  </si>
  <si>
    <t>gr / gal</t>
  </si>
  <si>
    <t>lb / ft . hr</t>
  </si>
  <si>
    <t>lb / day</t>
  </si>
  <si>
    <t>kcal / hr . m . C</t>
  </si>
  <si>
    <t>cal / kg</t>
  </si>
  <si>
    <t>cal / kg . C</t>
  </si>
  <si>
    <t>km</t>
  </si>
  <si>
    <t>gal  (US)</t>
  </si>
  <si>
    <t>lb-mol / hr</t>
  </si>
  <si>
    <t>bbl / day</t>
  </si>
  <si>
    <t>Btu / hr</t>
  </si>
  <si>
    <t>Cal</t>
  </si>
  <si>
    <t>oz</t>
  </si>
  <si>
    <t>lb / ft . sec</t>
  </si>
  <si>
    <t>kg / sec</t>
  </si>
  <si>
    <t>watt / m . C</t>
  </si>
  <si>
    <t>joule / kg</t>
  </si>
  <si>
    <t>joule / kg . C</t>
  </si>
  <si>
    <t xml:space="preserve">m </t>
  </si>
  <si>
    <t>fl. oz</t>
  </si>
  <si>
    <t>lb-mol / day</t>
  </si>
  <si>
    <t>gal / min</t>
  </si>
  <si>
    <t>torr</t>
  </si>
  <si>
    <t>kW</t>
  </si>
  <si>
    <t>kCal</t>
  </si>
  <si>
    <t>kg</t>
  </si>
  <si>
    <t>kg / min</t>
  </si>
  <si>
    <t>Molar Flowrate</t>
  </si>
  <si>
    <t>Mass</t>
  </si>
  <si>
    <t>Mass Flowrate</t>
  </si>
  <si>
    <t>Specific Heat</t>
  </si>
  <si>
    <t>cm</t>
  </si>
  <si>
    <t>g-mol / hr</t>
  </si>
  <si>
    <t>gal / day</t>
  </si>
  <si>
    <t>atm</t>
  </si>
  <si>
    <t>Cal / sec</t>
  </si>
  <si>
    <t>joule</t>
  </si>
  <si>
    <t>gr</t>
  </si>
  <si>
    <t>kg / hr</t>
  </si>
  <si>
    <t>g-mol / day</t>
  </si>
  <si>
    <t>bar</t>
  </si>
  <si>
    <t>Cal / min</t>
  </si>
  <si>
    <t>W . sec</t>
  </si>
  <si>
    <t>mg</t>
  </si>
  <si>
    <t>lb / gal</t>
  </si>
  <si>
    <t>gr / cm . sec</t>
  </si>
  <si>
    <t>kg / day</t>
  </si>
  <si>
    <t>micron</t>
  </si>
  <si>
    <t>lit</t>
  </si>
  <si>
    <t>mbar</t>
  </si>
  <si>
    <t>Watt</t>
  </si>
  <si>
    <t>grain</t>
  </si>
  <si>
    <t>hectare</t>
  </si>
  <si>
    <t>lb / bbl</t>
  </si>
  <si>
    <t>kg / m . hr</t>
  </si>
  <si>
    <t>L ton / day</t>
  </si>
  <si>
    <t>Joule / sec</t>
  </si>
  <si>
    <t>lit . atm</t>
  </si>
  <si>
    <t>carat</t>
  </si>
  <si>
    <t>are</t>
  </si>
  <si>
    <t>S ton / day</t>
  </si>
  <si>
    <t>Volumetric Flowrate</t>
  </si>
  <si>
    <t>Density</t>
  </si>
  <si>
    <t>Heat Transfer Coefficient</t>
  </si>
  <si>
    <t>ml</t>
  </si>
  <si>
    <t>lit / sec</t>
  </si>
  <si>
    <t>kPa</t>
  </si>
  <si>
    <t>slug</t>
  </si>
  <si>
    <t>acre</t>
  </si>
  <si>
    <t>oz / gal</t>
  </si>
  <si>
    <t>M ton / day</t>
  </si>
  <si>
    <t>lit / min</t>
  </si>
  <si>
    <t>Pa</t>
  </si>
  <si>
    <t>SG  (liquid)</t>
  </si>
  <si>
    <t>lit / hr</t>
  </si>
  <si>
    <t>lit / day</t>
  </si>
  <si>
    <t>Area</t>
  </si>
  <si>
    <t>Thermal Conductivity</t>
  </si>
  <si>
    <t>PROCESS ENGINEERING TOOLKIT</t>
  </si>
  <si>
    <t>PROCESS &amp; CONTROL SYSTEMS DEPT.</t>
  </si>
  <si>
    <t>UPSTREAM PROCESS ENGINEERING</t>
  </si>
  <si>
    <t>UNIT CONVERSION PROGRAM</t>
  </si>
  <si>
    <t>Please contact mehryar.beyk@aramco.com if you have any suggestions to improve this program.</t>
  </si>
  <si>
    <r>
      <t xml:space="preserve">yard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</si>
  <si>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</si>
  <si>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ft</t>
    </r>
    <r>
      <rPr>
        <vertAlign val="superscript"/>
        <sz val="8"/>
        <color indexed="9"/>
        <rFont val="Arial"/>
        <family val="2"/>
      </rPr>
      <t>2</t>
    </r>
  </si>
  <si>
    <r>
      <t>gr / cm</t>
    </r>
    <r>
      <rPr>
        <vertAlign val="superscript"/>
        <sz val="8"/>
        <color indexed="9"/>
        <rFont val="Arial"/>
        <family val="2"/>
      </rPr>
      <t>3</t>
    </r>
  </si>
  <si>
    <r>
      <t>Btu / hr . 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F</t>
    </r>
  </si>
  <si>
    <r>
      <t>Btu / hr . ft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</si>
  <si>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</si>
  <si>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in</t>
    </r>
    <r>
      <rPr>
        <vertAlign val="superscript"/>
        <sz val="8"/>
        <color indexed="9"/>
        <rFont val="Arial"/>
        <family val="2"/>
      </rPr>
      <t>2</t>
    </r>
  </si>
  <si>
    <r>
      <t>cal / sec .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</si>
  <si>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cal / sec . cm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</si>
  <si>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</si>
  <si>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</si>
  <si>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ft . lb</t>
    </r>
    <r>
      <rPr>
        <vertAlign val="subscript"/>
        <sz val="8"/>
        <color indexed="9"/>
        <rFont val="Arial"/>
        <family val="2"/>
      </rPr>
      <t>f</t>
    </r>
  </si>
  <si>
    <r>
      <t xml:space="preserve">yard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</si>
  <si>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</si>
  <si>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</si>
  <si>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cm</t>
    </r>
    <r>
      <rPr>
        <vertAlign val="superscript"/>
        <sz val="8"/>
        <color indexed="9"/>
        <rFont val="Arial"/>
        <family val="2"/>
      </rPr>
      <t>2</t>
    </r>
  </si>
  <si>
    <r>
      <t>ft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</si>
  <si>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 xml:space="preserve">mile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</si>
  <si>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</si>
  <si>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>kcal / hr .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</si>
  <si>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kcal / hr . m</t>
    </r>
    <r>
      <rPr>
        <vertAlign val="superscript"/>
        <sz val="8"/>
        <color indexed="9"/>
        <rFont val="Arial"/>
        <family val="2"/>
      </rPr>
      <t>2</t>
    </r>
  </si>
  <si>
    <r>
      <t>in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</si>
  <si>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>mm</t>
    </r>
    <r>
      <rPr>
        <vertAlign val="superscript"/>
        <sz val="8"/>
        <color indexed="9"/>
        <rFont val="Arial"/>
        <family val="2"/>
      </rPr>
      <t>2</t>
    </r>
  </si>
  <si>
    <r>
      <t>kg / m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</si>
  <si>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</si>
  <si>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</si>
  <si>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m</t>
    </r>
    <r>
      <rPr>
        <vertAlign val="superscript"/>
        <sz val="8"/>
        <color indexed="9"/>
        <rFont val="Arial"/>
        <family val="2"/>
      </rPr>
      <t>2</t>
    </r>
  </si>
  <si>
    <r>
      <t>cm</t>
    </r>
    <r>
      <rPr>
        <vertAlign val="superscript"/>
        <sz val="8"/>
        <color indexed="9"/>
        <rFont val="Arial"/>
        <family val="2"/>
      </rPr>
      <t>2</t>
    </r>
  </si>
  <si>
    <r>
      <t>lb / in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</si>
  <si>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ft2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</si>
  <si>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</si>
  <si>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 xml:space="preserve">in 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</si>
  <si>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</si>
  <si>
    <r>
      <t>lb / ft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</si>
  <si>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in2</t>
    </r>
  </si>
  <si>
    <r>
      <t>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</si>
  <si>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</si>
  <si>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</si>
  <si>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km</t>
    </r>
    <r>
      <rPr>
        <vertAlign val="superscript"/>
        <sz val="8"/>
        <color indexed="9"/>
        <rFont val="Arial"/>
        <family val="2"/>
      </rPr>
      <t>2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</si>
  <si>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</si>
  <si>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ft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in</t>
    </r>
    <r>
      <rPr>
        <vertAlign val="superscript"/>
        <sz val="8"/>
        <color indexed="9"/>
        <rFont val="Arial"/>
        <family val="2"/>
      </rPr>
      <t>2</t>
    </r>
  </si>
  <si>
    <r>
      <t xml:space="preserve">cm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</si>
  <si>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</si>
  <si>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kg / cm</t>
    </r>
    <r>
      <rPr>
        <vertAlign val="superscript"/>
        <sz val="8"/>
        <color indexed="9"/>
        <rFont val="Arial"/>
        <family val="2"/>
      </rPr>
      <t>2</t>
    </r>
  </si>
  <si>
    <r>
      <t>oz / in</t>
    </r>
    <r>
      <rPr>
        <vertAlign val="superscript"/>
        <sz val="8"/>
        <color indexed="9"/>
        <rFont val="Arial"/>
        <family val="2"/>
      </rPr>
      <t>3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</si>
  <si>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sec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</si>
  <si>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min</t>
    </r>
  </si>
  <si>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</si>
  <si>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</si>
  <si>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</si>
  <si>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</si>
  <si>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</si>
  <si>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</si>
  <si>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</si>
  <si>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</si>
  <si>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</si>
  <si>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</si>
  <si>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</si>
  <si>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</si>
  <si>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</si>
  <si>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CHANGE THE YEAR HERE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</si>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</sst>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General_)"/>
    <numFmt numFmtId="167" formatCode="0.0_)"/>
    <numFmt numFmtId="168" formatCode="0.00000000_)"/>
    <numFmt numFmtId="169" formatCode="&quot;$&quot;#,##0.00_);[Red]&quot;$&quot;#,##0.00"/>
    <numFmt numFmtId="170" formatCode="&quot;$&quot;#,##0.00_);&quot;$&quot;#,##0.00"/>
    <numFmt numFmtId="171" formatCode="&quot;$&quot;#,##0.0000_);\(&quot;$&quot;#,##0.0000\)"/>
    <numFmt numFmtId="172" formatCode="m"/>
    <numFmt numFmtId="173" formatCode="0.000"/>
    <numFmt numFmtId="174" formatCode="0._)"/>
    <numFmt numFmtId="175" formatCode="0.0000"/>
    <numFmt numFmtId="176" formatCode=".0000_)"/>
    <numFmt numFmtId="177" formatCode="00"/>
    <numFmt numFmtId="178" formatCode="000"/>
    <numFmt numFmtId="179" formatCode=".000_)"/>
    <numFmt numFmtId="180" formatCode=".0000"/>
    <numFmt numFmtId="181" formatCode="0.0"/>
    <numFmt numFmtId="182" formatCode="mm/dd/yy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#,##0.0"/>
    <numFmt numFmtId="192" formatCode="0.00000"/>
    <numFmt numFmtId="193" formatCode="0.000000"/>
    <numFmt numFmtId="194" formatCode="#,##0.000000"/>
    <numFmt numFmtId="195" formatCode="#,##0.0000000"/>
    <numFmt numFmtId="196" formatCode="0.E+00"/>
    <numFmt numFmtId="197" formatCode="#,##0.000"/>
    <numFmt numFmtId="198" formatCode="#,##0.0000"/>
    <numFmt numFmtId="199" formatCode="#,##0.00000"/>
    <numFmt numFmtId="200" formatCode="mmmm\ d\,\ yyyy"/>
    <numFmt numFmtId="201" formatCode="_(* #,##0.0_);_(* \(#,##0.0\);_(* &quot;-&quot;??_);_(@_)"/>
    <numFmt numFmtId="202" formatCode="_(* #,##0_);_(* \(#,##0\);_(* &quot;-&quot;??_);_(@_)"/>
    <numFmt numFmtId="203" formatCode="0.0%"/>
    <numFmt numFmtId="204" formatCode="#,##0.0_);\(#,##0.0\)"/>
    <numFmt numFmtId="205" formatCode="#,##0.000_);\(#,##0.000\)"/>
    <numFmt numFmtId="206" formatCode="dd\-mmm\-yy_)"/>
    <numFmt numFmtId="207" formatCode="0E+00_)"/>
    <numFmt numFmtId="208" formatCode="0.00000000"/>
    <numFmt numFmtId="209" formatCode="0.0000000"/>
    <numFmt numFmtId="210" formatCode="0.0000000000"/>
    <numFmt numFmtId="211" formatCode="0.00000000000"/>
    <numFmt numFmtId="212" formatCode="0.000000000"/>
    <numFmt numFmtId="213" formatCode=";;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Rs&quot;#,##0_);\(&quot;Rs&quot;#,##0\)"/>
    <numFmt numFmtId="218" formatCode="&quot;Rs&quot;#,##0_);[Red]\(&quot;Rs&quot;#,##0\)"/>
    <numFmt numFmtId="219" formatCode="&quot;Rs&quot;#,##0.00_);\(&quot;Rs&quot;#,##0.00\)"/>
    <numFmt numFmtId="220" formatCode="&quot;Rs&quot;#,##0.00_);[Red]\(&quot;Rs&quot;#,##0.00\)"/>
    <numFmt numFmtId="221" formatCode="_(&quot;Rs&quot;* #,##0_);_(&quot;Rs&quot;* \(#,##0\);_(&quot;Rs&quot;* &quot;-&quot;_);_(@_)"/>
    <numFmt numFmtId="222" formatCode="_(&quot;Rs&quot;* #,##0.00_);_(&quot;Rs&quot;* \(#,##0.00\);_(&quot;Rs&quot;* &quot;-&quot;??_);_(@_)"/>
    <numFmt numFmtId="223" formatCode="dd\.\ mmm\ yy"/>
    <numFmt numFmtId="224" formatCode="dd\.mm\.yy"/>
    <numFmt numFmtId="225" formatCode="m/d"/>
    <numFmt numFmtId="226" formatCode="d\-mmm\-yyyy"/>
    <numFmt numFmtId="227" formatCode="00000"/>
  </numFmts>
  <fonts count="1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0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0"/>
    </font>
    <font>
      <sz val="8"/>
      <color indexed="9"/>
      <name val="Arial"/>
      <family val="2"/>
    </font>
    <font>
      <b/>
      <sz val="8"/>
      <color indexed="8"/>
      <name val="Arial"/>
      <family val="0"/>
    </font>
    <font>
      <vertAlign val="superscript"/>
      <sz val="8"/>
      <color indexed="9"/>
      <name val="Arial"/>
      <family val="2"/>
    </font>
    <font>
      <vertAlign val="subscript"/>
      <sz val="8"/>
      <color indexed="9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6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sz val="12"/>
      <name val="MS Sans Serif"/>
      <family val="0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6"/>
      <color indexed="40"/>
      <name val="Comic Sans MS"/>
      <family val="4"/>
    </font>
    <font>
      <b/>
      <sz val="13.5"/>
      <color indexed="57"/>
      <name val="Comic Sans MS"/>
      <family val="4"/>
    </font>
    <font>
      <b/>
      <sz val="11"/>
      <name val="Arial"/>
      <family val="2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9"/>
      <color indexed="18"/>
      <name val="Comic Sans MS"/>
      <family val="4"/>
    </font>
    <font>
      <b/>
      <sz val="8"/>
      <color indexed="9"/>
      <name val="MS Sans Serif"/>
      <family val="0"/>
    </font>
    <font>
      <b/>
      <sz val="10"/>
      <color indexed="62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Comic Sans MS"/>
      <family val="4"/>
    </font>
    <font>
      <b/>
      <sz val="11"/>
      <color indexed="46"/>
      <name val="Comic Sans MS"/>
      <family val="4"/>
    </font>
    <font>
      <sz val="10"/>
      <color indexed="10"/>
      <name val="Comic Sans MS"/>
      <family val="4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8"/>
      <color indexed="8"/>
      <name val="Arial"/>
      <family val="0"/>
    </font>
    <font>
      <sz val="18"/>
      <color indexed="21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4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 horizontal="centerContinuous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6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7" fillId="33" borderId="15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6" fillId="33" borderId="13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Continuous"/>
    </xf>
    <xf numFmtId="0" fontId="8" fillId="33" borderId="15" xfId="0" applyFont="1" applyFill="1" applyBorder="1" applyAlignment="1">
      <alignment horizontal="centerContinuous"/>
    </xf>
    <xf numFmtId="7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2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23" xfId="0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7" fontId="7" fillId="33" borderId="0" xfId="0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 horizontal="center"/>
    </xf>
    <xf numFmtId="7" fontId="0" fillId="33" borderId="19" xfId="0" applyNumberFormat="1" applyFill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>
      <alignment/>
      <protection locked="0"/>
    </xf>
    <xf numFmtId="7" fontId="5" fillId="0" borderId="24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right"/>
    </xf>
    <xf numFmtId="7" fontId="0" fillId="34" borderId="16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centerContinuous"/>
    </xf>
    <xf numFmtId="0" fontId="0" fillId="33" borderId="0" xfId="0" applyFill="1" applyBorder="1" applyAlignment="1">
      <alignment horizontal="center"/>
    </xf>
    <xf numFmtId="164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right"/>
    </xf>
    <xf numFmtId="166" fontId="0" fillId="33" borderId="15" xfId="0" applyNumberFormat="1" applyFill="1" applyBorder="1" applyAlignment="1" applyProtection="1">
      <alignment/>
      <protection/>
    </xf>
    <xf numFmtId="0" fontId="0" fillId="33" borderId="19" xfId="0" applyFill="1" applyBorder="1" applyAlignment="1">
      <alignment horizontal="right"/>
    </xf>
    <xf numFmtId="0" fontId="0" fillId="33" borderId="0" xfId="0" applyFill="1" applyBorder="1" applyAlignment="1">
      <alignment horizontal="center" vertical="top"/>
    </xf>
    <xf numFmtId="0" fontId="0" fillId="33" borderId="14" xfId="0" applyFill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0" fillId="33" borderId="29" xfId="0" applyFill="1" applyBorder="1" applyAlignment="1">
      <alignment horizontal="centerContinuous"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8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centerContinuous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166" fontId="0" fillId="33" borderId="33" xfId="0" applyNumberFormat="1" applyFill="1" applyBorder="1" applyAlignment="1" applyProtection="1">
      <alignment/>
      <protection/>
    </xf>
    <xf numFmtId="7" fontId="5" fillId="0" borderId="34" xfId="0" applyNumberFormat="1" applyFont="1" applyFill="1" applyBorder="1" applyAlignment="1" applyProtection="1">
      <alignment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11" fillId="33" borderId="15" xfId="0" applyFont="1" applyFill="1" applyBorder="1" applyAlignment="1">
      <alignment horizontal="centerContinuous"/>
    </xf>
    <xf numFmtId="164" fontId="0" fillId="33" borderId="0" xfId="0" applyNumberFormat="1" applyFill="1" applyBorder="1" applyAlignment="1" applyProtection="1">
      <alignment horizontal="center"/>
      <protection/>
    </xf>
    <xf numFmtId="0" fontId="4" fillId="0" borderId="0" xfId="60">
      <alignment/>
      <protection/>
    </xf>
    <xf numFmtId="0" fontId="4" fillId="0" borderId="0" xfId="60" applyAlignment="1">
      <alignment horizontal="right"/>
      <protection/>
    </xf>
    <xf numFmtId="0" fontId="4" fillId="0" borderId="0" xfId="60" applyProtection="1">
      <alignment/>
      <protection locked="0"/>
    </xf>
    <xf numFmtId="0" fontId="4" fillId="0" borderId="0" xfId="60" applyProtection="1">
      <alignment/>
      <protection/>
    </xf>
    <xf numFmtId="0" fontId="4" fillId="33" borderId="0" xfId="60" applyFill="1">
      <alignment/>
      <protection/>
    </xf>
    <xf numFmtId="0" fontId="4" fillId="33" borderId="0" xfId="60" applyFill="1" applyAlignment="1">
      <alignment horizontal="right"/>
      <protection/>
    </xf>
    <xf numFmtId="0" fontId="4" fillId="33" borderId="0" xfId="60" applyFill="1" applyProtection="1">
      <alignment/>
      <protection/>
    </xf>
    <xf numFmtId="0" fontId="4" fillId="33" borderId="0" xfId="60" applyFill="1" applyAlignment="1">
      <alignment horizontal="center"/>
      <protection/>
    </xf>
    <xf numFmtId="0" fontId="4" fillId="33" borderId="15" xfId="60" applyFill="1" applyBorder="1">
      <alignment/>
      <protection/>
    </xf>
    <xf numFmtId="0" fontId="4" fillId="33" borderId="15" xfId="60" applyFill="1" applyBorder="1" applyProtection="1">
      <alignment/>
      <protection/>
    </xf>
    <xf numFmtId="0" fontId="4" fillId="33" borderId="16" xfId="60" applyFill="1" applyBorder="1">
      <alignment/>
      <protection/>
    </xf>
    <xf numFmtId="164" fontId="13" fillId="33" borderId="26" xfId="0" applyNumberFormat="1" applyFont="1" applyFill="1" applyBorder="1" applyAlignment="1" applyProtection="1">
      <alignment horizontal="centerContinuous"/>
      <protection/>
    </xf>
    <xf numFmtId="164" fontId="13" fillId="33" borderId="25" xfId="0" applyNumberFormat="1" applyFont="1" applyFill="1" applyBorder="1" applyAlignment="1" applyProtection="1">
      <alignment horizontal="centerContinuous"/>
      <protection/>
    </xf>
    <xf numFmtId="164" fontId="0" fillId="33" borderId="28" xfId="0" applyNumberFormat="1" applyFill="1" applyBorder="1" applyAlignment="1" applyProtection="1">
      <alignment/>
      <protection/>
    </xf>
    <xf numFmtId="164" fontId="13" fillId="33" borderId="27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33" borderId="28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Continuous"/>
      <protection/>
    </xf>
    <xf numFmtId="0" fontId="0" fillId="33" borderId="30" xfId="0" applyFill="1" applyBorder="1" applyAlignment="1" applyProtection="1">
      <alignment horizontal="right"/>
      <protection/>
    </xf>
    <xf numFmtId="0" fontId="0" fillId="33" borderId="31" xfId="0" applyFill="1" applyBorder="1" applyAlignment="1" applyProtection="1">
      <alignment horizontal="right"/>
      <protection/>
    </xf>
    <xf numFmtId="164" fontId="0" fillId="33" borderId="0" xfId="0" applyNumberFormat="1" applyFill="1" applyBorder="1" applyAlignment="1" applyProtection="1">
      <alignment horizontal="centerContinuous"/>
      <protection/>
    </xf>
    <xf numFmtId="164" fontId="0" fillId="33" borderId="28" xfId="0" applyNumberFormat="1" applyFill="1" applyBorder="1" applyAlignment="1" applyProtection="1">
      <alignment horizontal="right"/>
      <protection/>
    </xf>
    <xf numFmtId="164" fontId="7" fillId="33" borderId="28" xfId="0" applyNumberFormat="1" applyFont="1" applyFill="1" applyBorder="1" applyAlignment="1" applyProtection="1">
      <alignment horizontal="centerContinuous"/>
      <protection/>
    </xf>
    <xf numFmtId="164" fontId="11" fillId="34" borderId="37" xfId="0" applyNumberFormat="1" applyFont="1" applyFill="1" applyBorder="1" applyAlignment="1" applyProtection="1">
      <alignment horizontal="centerContinuous"/>
      <protection/>
    </xf>
    <xf numFmtId="164" fontId="9" fillId="34" borderId="38" xfId="0" applyNumberFormat="1" applyFont="1" applyFill="1" applyBorder="1" applyAlignment="1" applyProtection="1">
      <alignment horizontal="centerContinuous"/>
      <protection/>
    </xf>
    <xf numFmtId="0" fontId="9" fillId="34" borderId="38" xfId="0" applyFont="1" applyFill="1" applyBorder="1" applyAlignment="1">
      <alignment horizontal="centerContinuous"/>
    </xf>
    <xf numFmtId="0" fontId="9" fillId="34" borderId="39" xfId="0" applyFont="1" applyFill="1" applyBorder="1" applyAlignment="1">
      <alignment horizontal="centerContinuous"/>
    </xf>
    <xf numFmtId="164" fontId="9" fillId="34" borderId="0" xfId="0" applyNumberFormat="1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 horizontal="centerContinuous"/>
    </xf>
    <xf numFmtId="166" fontId="9" fillId="34" borderId="4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29" xfId="0" applyFont="1" applyFill="1" applyBorder="1" applyAlignment="1">
      <alignment horizontal="left"/>
    </xf>
    <xf numFmtId="166" fontId="9" fillId="34" borderId="41" xfId="0" applyNumberFormat="1" applyFont="1" applyFill="1" applyBorder="1" applyAlignment="1" applyProtection="1">
      <alignment/>
      <protection/>
    </xf>
    <xf numFmtId="166" fontId="9" fillId="34" borderId="42" xfId="0" applyNumberFormat="1" applyFont="1" applyFill="1" applyBorder="1" applyAlignment="1" applyProtection="1">
      <alignment/>
      <protection/>
    </xf>
    <xf numFmtId="0" fontId="9" fillId="34" borderId="43" xfId="0" applyFont="1" applyFill="1" applyBorder="1" applyAlignment="1">
      <alignment horizontal="left"/>
    </xf>
    <xf numFmtId="0" fontId="9" fillId="34" borderId="43" xfId="0" applyFont="1" applyFill="1" applyBorder="1" applyAlignment="1">
      <alignment/>
    </xf>
    <xf numFmtId="0" fontId="9" fillId="34" borderId="44" xfId="0" applyFont="1" applyFill="1" applyBorder="1" applyAlignment="1">
      <alignment/>
    </xf>
    <xf numFmtId="164" fontId="10" fillId="33" borderId="28" xfId="0" applyNumberFormat="1" applyFont="1" applyFill="1" applyBorder="1" applyAlignment="1" applyProtection="1">
      <alignment horizontal="centerContinuous"/>
      <protection/>
    </xf>
    <xf numFmtId="164" fontId="7" fillId="33" borderId="0" xfId="0" applyNumberFormat="1" applyFont="1" applyFill="1" applyBorder="1" applyAlignment="1" applyProtection="1">
      <alignment horizontal="centerContinuous"/>
      <protection/>
    </xf>
    <xf numFmtId="164" fontId="7" fillId="33" borderId="28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right"/>
    </xf>
    <xf numFmtId="164" fontId="8" fillId="33" borderId="0" xfId="0" applyNumberFormat="1" applyFont="1" applyFill="1" applyBorder="1" applyAlignment="1" applyProtection="1">
      <alignment vertical="top"/>
      <protection/>
    </xf>
    <xf numFmtId="164" fontId="8" fillId="33" borderId="0" xfId="0" applyNumberFormat="1" applyFont="1" applyFill="1" applyBorder="1" applyAlignment="1" applyProtection="1">
      <alignment horizontal="center" vertical="top"/>
      <protection/>
    </xf>
    <xf numFmtId="164" fontId="8" fillId="33" borderId="0" xfId="0" applyNumberFormat="1" applyFont="1" applyFill="1" applyBorder="1" applyAlignment="1" applyProtection="1">
      <alignment horizontal="left" vertical="top"/>
      <protection/>
    </xf>
    <xf numFmtId="164" fontId="8" fillId="33" borderId="29" xfId="0" applyNumberFormat="1" applyFont="1" applyFill="1" applyBorder="1" applyAlignment="1" applyProtection="1">
      <alignment horizontal="left" vertical="top"/>
      <protection/>
    </xf>
    <xf numFmtId="164" fontId="14" fillId="34" borderId="40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right"/>
      <protection/>
    </xf>
    <xf numFmtId="168" fontId="0" fillId="33" borderId="16" xfId="0" applyNumberFormat="1" applyFill="1" applyBorder="1" applyAlignment="1" applyProtection="1">
      <alignment horizontal="left"/>
      <protection/>
    </xf>
    <xf numFmtId="0" fontId="0" fillId="33" borderId="21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1" fontId="0" fillId="33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33" borderId="19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0" fontId="4" fillId="33" borderId="0" xfId="60" applyFont="1" applyFill="1">
      <alignment/>
      <protection/>
    </xf>
    <xf numFmtId="0" fontId="4" fillId="33" borderId="0" xfId="60" applyFont="1" applyFill="1" applyAlignment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9" fillId="34" borderId="0" xfId="0" applyNumberFormat="1" applyFont="1" applyFill="1" applyBorder="1" applyAlignment="1" applyProtection="1">
      <alignment/>
      <protection/>
    </xf>
    <xf numFmtId="0" fontId="15" fillId="0" borderId="45" xfId="60" applyFont="1" applyFill="1" applyBorder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164" fontId="0" fillId="33" borderId="16" xfId="0" applyNumberFormat="1" applyFill="1" applyBorder="1" applyAlignment="1" applyProtection="1">
      <alignment horizontal="center"/>
      <protection/>
    </xf>
    <xf numFmtId="0" fontId="16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164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8" fillId="33" borderId="47" xfId="0" applyFont="1" applyFill="1" applyBorder="1" applyAlignment="1" applyProtection="1">
      <alignment horizontal="center"/>
      <protection/>
    </xf>
    <xf numFmtId="164" fontId="18" fillId="33" borderId="0" xfId="0" applyNumberFormat="1" applyFont="1" applyFill="1" applyBorder="1" applyAlignment="1" applyProtection="1">
      <alignment vertical="top"/>
      <protection/>
    </xf>
    <xf numFmtId="1" fontId="18" fillId="33" borderId="0" xfId="0" applyNumberFormat="1" applyFont="1" applyFill="1" applyBorder="1" applyAlignment="1" applyProtection="1">
      <alignment horizontal="left" vertical="top"/>
      <protection/>
    </xf>
    <xf numFmtId="164" fontId="18" fillId="33" borderId="0" xfId="0" applyNumberFormat="1" applyFont="1" applyFill="1" applyBorder="1" applyAlignment="1" applyProtection="1">
      <alignment/>
      <protection/>
    </xf>
    <xf numFmtId="0" fontId="18" fillId="33" borderId="29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8" fillId="33" borderId="48" xfId="0" applyFont="1" applyFill="1" applyBorder="1" applyAlignment="1" applyProtection="1">
      <alignment horizontal="center"/>
      <protection/>
    </xf>
    <xf numFmtId="164" fontId="18" fillId="33" borderId="31" xfId="0" applyNumberFormat="1" applyFont="1" applyFill="1" applyBorder="1" applyAlignment="1" applyProtection="1">
      <alignment/>
      <protection/>
    </xf>
    <xf numFmtId="0" fontId="18" fillId="33" borderId="31" xfId="0" applyFont="1" applyFill="1" applyBorder="1" applyAlignment="1" applyProtection="1">
      <alignment horizontal="left"/>
      <protection/>
    </xf>
    <xf numFmtId="0" fontId="18" fillId="33" borderId="32" xfId="0" applyFont="1" applyFill="1" applyBorder="1" applyAlignment="1" applyProtection="1">
      <alignment horizontal="left"/>
      <protection/>
    </xf>
    <xf numFmtId="0" fontId="19" fillId="33" borderId="19" xfId="0" applyFont="1" applyFill="1" applyBorder="1" applyAlignment="1">
      <alignment horizontal="right"/>
    </xf>
    <xf numFmtId="170" fontId="19" fillId="33" borderId="19" xfId="0" applyNumberFormat="1" applyFont="1" applyFill="1" applyBorder="1" applyAlignment="1">
      <alignment horizontal="center"/>
    </xf>
    <xf numFmtId="0" fontId="19" fillId="33" borderId="19" xfId="0" applyFont="1" applyFill="1" applyBorder="1" applyAlignment="1">
      <alignment horizontal="left"/>
    </xf>
    <xf numFmtId="0" fontId="19" fillId="33" borderId="19" xfId="0" applyFont="1" applyFill="1" applyBorder="1" applyAlignment="1">
      <alignment/>
    </xf>
    <xf numFmtId="0" fontId="8" fillId="33" borderId="28" xfId="0" applyFont="1" applyFill="1" applyBorder="1" applyAlignment="1" applyProtection="1">
      <alignment horizontal="centerContinuous"/>
      <protection/>
    </xf>
    <xf numFmtId="0" fontId="0" fillId="33" borderId="49" xfId="0" applyFill="1" applyBorder="1" applyAlignment="1">
      <alignment horizontal="center"/>
    </xf>
    <xf numFmtId="164" fontId="0" fillId="33" borderId="40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18" fillId="33" borderId="19" xfId="0" applyFont="1" applyFill="1" applyBorder="1" applyAlignment="1">
      <alignment horizontal="right"/>
    </xf>
    <xf numFmtId="7" fontId="0" fillId="0" borderId="0" xfId="0" applyNumberFormat="1" applyAlignment="1">
      <alignment/>
    </xf>
    <xf numFmtId="166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34" borderId="53" xfId="0" applyFill="1" applyBorder="1" applyAlignment="1">
      <alignment/>
    </xf>
    <xf numFmtId="0" fontId="8" fillId="33" borderId="26" xfId="0" applyFont="1" applyFill="1" applyBorder="1" applyAlignment="1">
      <alignment horizontal="centerContinuous"/>
    </xf>
    <xf numFmtId="0" fontId="8" fillId="33" borderId="28" xfId="0" applyFont="1" applyFill="1" applyBorder="1" applyAlignment="1">
      <alignment horizontal="centerContinuous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/>
      <protection/>
    </xf>
    <xf numFmtId="0" fontId="6" fillId="33" borderId="25" xfId="0" applyNumberFormat="1" applyFont="1" applyFill="1" applyBorder="1" applyAlignment="1" applyProtection="1">
      <alignment horizontal="centerContinuous"/>
      <protection/>
    </xf>
    <xf numFmtId="0" fontId="0" fillId="33" borderId="26" xfId="0" applyNumberFormat="1" applyFill="1" applyBorder="1" applyAlignment="1" applyProtection="1">
      <alignment horizontal="centerContinuous"/>
      <protection/>
    </xf>
    <xf numFmtId="0" fontId="0" fillId="33" borderId="27" xfId="0" applyNumberFormat="1" applyFill="1" applyBorder="1" applyAlignment="1" applyProtection="1">
      <alignment horizontal="centerContinuous"/>
      <protection/>
    </xf>
    <xf numFmtId="173" fontId="0" fillId="0" borderId="0" xfId="0" applyNumberFormat="1" applyAlignment="1" applyProtection="1">
      <alignment/>
      <protection/>
    </xf>
    <xf numFmtId="0" fontId="0" fillId="33" borderId="28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33" borderId="30" xfId="0" applyNumberForma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/>
      <protection/>
    </xf>
    <xf numFmtId="0" fontId="0" fillId="33" borderId="32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Continuous"/>
      <protection/>
    </xf>
    <xf numFmtId="0" fontId="0" fillId="33" borderId="54" xfId="0" applyNumberFormat="1" applyFill="1" applyBorder="1" applyAlignment="1" applyProtection="1">
      <alignment horizontal="centerContinuous"/>
      <protection/>
    </xf>
    <xf numFmtId="0" fontId="0" fillId="33" borderId="51" xfId="0" applyNumberFormat="1" applyFill="1" applyBorder="1" applyAlignment="1" applyProtection="1">
      <alignment horizontal="centerContinuous"/>
      <protection/>
    </xf>
    <xf numFmtId="0" fontId="0" fillId="33" borderId="50" xfId="0" applyNumberForma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9" fillId="34" borderId="51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0" fillId="33" borderId="29" xfId="0" applyNumberFormat="1" applyFill="1" applyBorder="1" applyAlignment="1" applyProtection="1">
      <alignment horizontal="centerContinuous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28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33" borderId="59" xfId="0" applyFont="1" applyFill="1" applyBorder="1" applyAlignment="1">
      <alignment horizontal="center" textRotation="180"/>
    </xf>
    <xf numFmtId="0" fontId="21" fillId="33" borderId="60" xfId="0" applyFont="1" applyFill="1" applyBorder="1" applyAlignment="1">
      <alignment horizontal="center" textRotation="180"/>
    </xf>
    <xf numFmtId="0" fontId="21" fillId="33" borderId="61" xfId="0" applyFont="1" applyFill="1" applyBorder="1" applyAlignment="1">
      <alignment horizontal="center" textRotation="180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 applyProtection="1">
      <alignment horizontal="center" vertical="center"/>
      <protection/>
    </xf>
    <xf numFmtId="0" fontId="21" fillId="33" borderId="28" xfId="0" applyFont="1" applyFill="1" applyBorder="1" applyAlignment="1">
      <alignment horizontal="center" vertical="center"/>
    </xf>
    <xf numFmtId="0" fontId="21" fillId="33" borderId="0" xfId="0" applyFont="1" applyFill="1" applyAlignment="1" applyProtection="1">
      <alignment horizontal="center" vertical="center"/>
      <protection/>
    </xf>
    <xf numFmtId="165" fontId="21" fillId="33" borderId="0" xfId="0" applyNumberFormat="1" applyFont="1" applyFill="1" applyAlignment="1" applyProtection="1">
      <alignment vertical="center"/>
      <protection/>
    </xf>
    <xf numFmtId="165" fontId="21" fillId="33" borderId="29" xfId="0" applyNumberFormat="1" applyFont="1" applyFill="1" applyBorder="1" applyAlignment="1" applyProtection="1">
      <alignment vertical="center"/>
      <protection/>
    </xf>
    <xf numFmtId="0" fontId="21" fillId="33" borderId="28" xfId="0" applyFont="1" applyFill="1" applyBorder="1" applyAlignment="1">
      <alignment vertical="center"/>
    </xf>
    <xf numFmtId="165" fontId="21" fillId="33" borderId="31" xfId="0" applyNumberFormat="1" applyFont="1" applyFill="1" applyBorder="1" applyAlignment="1" applyProtection="1">
      <alignment vertical="center"/>
      <protection/>
    </xf>
    <xf numFmtId="176" fontId="22" fillId="33" borderId="0" xfId="0" applyNumberFormat="1" applyFont="1" applyFill="1" applyAlignment="1" applyProtection="1">
      <alignment vertical="center"/>
      <protection/>
    </xf>
    <xf numFmtId="176" fontId="22" fillId="33" borderId="31" xfId="0" applyNumberFormat="1" applyFont="1" applyFill="1" applyBorder="1" applyAlignment="1" applyProtection="1">
      <alignment vertical="center"/>
      <protection/>
    </xf>
    <xf numFmtId="176" fontId="22" fillId="33" borderId="0" xfId="0" applyNumberFormat="1" applyFont="1" applyFill="1" applyAlignment="1">
      <alignment vertical="center"/>
    </xf>
    <xf numFmtId="176" fontId="22" fillId="33" borderId="31" xfId="0" applyNumberFormat="1" applyFont="1" applyFill="1" applyBorder="1" applyAlignment="1">
      <alignment vertical="center"/>
    </xf>
    <xf numFmtId="2" fontId="21" fillId="33" borderId="0" xfId="0" applyNumberFormat="1" applyFont="1" applyFill="1" applyAlignment="1" applyProtection="1">
      <alignment vertical="center"/>
      <protection/>
    </xf>
    <xf numFmtId="2" fontId="21" fillId="33" borderId="0" xfId="0" applyNumberFormat="1" applyFont="1" applyFill="1" applyBorder="1" applyAlignment="1" applyProtection="1">
      <alignment horizontal="center" vertical="center"/>
      <protection/>
    </xf>
    <xf numFmtId="2" fontId="21" fillId="33" borderId="29" xfId="0" applyNumberFormat="1" applyFont="1" applyFill="1" applyBorder="1" applyAlignment="1">
      <alignment vertical="center"/>
    </xf>
    <xf numFmtId="165" fontId="21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applyProtection="1">
      <alignment horizontal="center" vertical="center"/>
      <protection/>
    </xf>
    <xf numFmtId="2" fontId="21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horizontal="center" vertical="center"/>
    </xf>
    <xf numFmtId="2" fontId="21" fillId="33" borderId="0" xfId="0" applyNumberFormat="1" applyFont="1" applyFill="1" applyAlignment="1">
      <alignment vertical="center"/>
    </xf>
    <xf numFmtId="0" fontId="21" fillId="33" borderId="31" xfId="0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vertical="center"/>
    </xf>
    <xf numFmtId="0" fontId="21" fillId="33" borderId="30" xfId="0" applyFont="1" applyFill="1" applyBorder="1" applyAlignment="1">
      <alignment vertical="center"/>
    </xf>
    <xf numFmtId="2" fontId="21" fillId="33" borderId="32" xfId="0" applyNumberFormat="1" applyFont="1" applyFill="1" applyBorder="1" applyAlignment="1">
      <alignment vertical="center"/>
    </xf>
    <xf numFmtId="176" fontId="22" fillId="33" borderId="0" xfId="0" applyNumberFormat="1" applyFont="1" applyFill="1" applyBorder="1" applyAlignment="1" applyProtection="1">
      <alignment vertical="center"/>
      <protection/>
    </xf>
    <xf numFmtId="176" fontId="22" fillId="33" borderId="0" xfId="0" applyNumberFormat="1" applyFont="1" applyFill="1" applyBorder="1" applyAlignment="1">
      <alignment vertical="center"/>
    </xf>
    <xf numFmtId="165" fontId="21" fillId="33" borderId="29" xfId="0" applyNumberFormat="1" applyFont="1" applyFill="1" applyBorder="1" applyAlignment="1">
      <alignment vertical="center"/>
    </xf>
    <xf numFmtId="165" fontId="21" fillId="33" borderId="3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77" fontId="9" fillId="34" borderId="55" xfId="0" applyNumberFormat="1" applyFont="1" applyFill="1" applyBorder="1" applyAlignment="1">
      <alignment horizontal="center"/>
    </xf>
    <xf numFmtId="178" fontId="9" fillId="34" borderId="55" xfId="0" applyNumberFormat="1" applyFont="1" applyFill="1" applyBorder="1" applyAlignment="1">
      <alignment horizontal="center"/>
    </xf>
    <xf numFmtId="179" fontId="9" fillId="34" borderId="62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 applyProtection="1">
      <alignment/>
      <protection locked="0"/>
    </xf>
    <xf numFmtId="0" fontId="19" fillId="33" borderId="21" xfId="0" applyFont="1" applyFill="1" applyBorder="1" applyAlignment="1">
      <alignment horizontal="right"/>
    </xf>
    <xf numFmtId="0" fontId="6" fillId="33" borderId="25" xfId="61" applyFont="1" applyFill="1" applyBorder="1" applyAlignment="1">
      <alignment horizontal="centerContinuous"/>
      <protection/>
    </xf>
    <xf numFmtId="0" fontId="6" fillId="33" borderId="26" xfId="61" applyFont="1" applyFill="1" applyBorder="1" applyAlignment="1">
      <alignment horizontal="centerContinuous"/>
      <protection/>
    </xf>
    <xf numFmtId="0" fontId="6" fillId="33" borderId="27" xfId="61" applyFont="1" applyFill="1" applyBorder="1" applyAlignment="1">
      <alignment horizontal="centerContinuous"/>
      <protection/>
    </xf>
    <xf numFmtId="0" fontId="4" fillId="0" borderId="0" xfId="61">
      <alignment/>
      <protection/>
    </xf>
    <xf numFmtId="0" fontId="0" fillId="33" borderId="28" xfId="61" applyFont="1" applyFill="1" applyBorder="1" applyAlignment="1">
      <alignment horizontal="centerContinuous"/>
      <protection/>
    </xf>
    <xf numFmtId="0" fontId="4" fillId="33" borderId="0" xfId="61" applyFill="1" applyBorder="1" applyAlignment="1">
      <alignment horizontal="centerContinuous"/>
      <protection/>
    </xf>
    <xf numFmtId="0" fontId="4" fillId="33" borderId="29" xfId="61" applyFill="1" applyBorder="1" applyAlignment="1">
      <alignment horizontal="centerContinuous"/>
      <protection/>
    </xf>
    <xf numFmtId="0" fontId="4" fillId="33" borderId="28" xfId="61" applyFill="1" applyBorder="1">
      <alignment/>
      <protection/>
    </xf>
    <xf numFmtId="0" fontId="4" fillId="33" borderId="0" xfId="61" applyFill="1" applyBorder="1" applyAlignment="1">
      <alignment horizontal="center"/>
      <protection/>
    </xf>
    <xf numFmtId="0" fontId="4" fillId="33" borderId="0" xfId="61" applyFill="1" applyBorder="1">
      <alignment/>
      <protection/>
    </xf>
    <xf numFmtId="0" fontId="4" fillId="33" borderId="29" xfId="61" applyFill="1" applyBorder="1">
      <alignment/>
      <protection/>
    </xf>
    <xf numFmtId="0" fontId="4" fillId="33" borderId="50" xfId="61" applyFill="1" applyBorder="1" applyAlignment="1">
      <alignment horizontal="center"/>
      <protection/>
    </xf>
    <xf numFmtId="0" fontId="4" fillId="33" borderId="40" xfId="61" applyFill="1" applyBorder="1" applyAlignment="1">
      <alignment horizontal="center"/>
      <protection/>
    </xf>
    <xf numFmtId="0" fontId="4" fillId="33" borderId="47" xfId="61" applyFill="1" applyBorder="1" applyAlignment="1">
      <alignment horizontal="center"/>
      <protection/>
    </xf>
    <xf numFmtId="0" fontId="4" fillId="33" borderId="49" xfId="61" applyFill="1" applyBorder="1" applyAlignment="1">
      <alignment horizontal="center"/>
      <protection/>
    </xf>
    <xf numFmtId="0" fontId="4" fillId="33" borderId="51" xfId="61" applyFill="1" applyBorder="1" applyAlignment="1">
      <alignment horizontal="center"/>
      <protection/>
    </xf>
    <xf numFmtId="0" fontId="4" fillId="33" borderId="41" xfId="61" applyFill="1" applyBorder="1" applyAlignment="1">
      <alignment horizontal="center"/>
      <protection/>
    </xf>
    <xf numFmtId="0" fontId="4" fillId="33" borderId="63" xfId="61" applyFill="1" applyBorder="1" applyAlignment="1">
      <alignment horizontal="center"/>
      <protection/>
    </xf>
    <xf numFmtId="0" fontId="4" fillId="33" borderId="52" xfId="61" applyFill="1" applyBorder="1" applyAlignment="1">
      <alignment horizontal="center"/>
      <protection/>
    </xf>
    <xf numFmtId="0" fontId="4" fillId="33" borderId="28" xfId="61" applyFill="1" applyBorder="1" applyAlignment="1">
      <alignment horizontal="right"/>
      <protection/>
    </xf>
    <xf numFmtId="0" fontId="5" fillId="0" borderId="10" xfId="61" applyFont="1" applyFill="1" applyBorder="1" applyProtection="1">
      <alignment/>
      <protection locked="0"/>
    </xf>
    <xf numFmtId="0" fontId="4" fillId="33" borderId="49" xfId="61" applyFill="1" applyBorder="1">
      <alignment/>
      <protection/>
    </xf>
    <xf numFmtId="0" fontId="4" fillId="33" borderId="47" xfId="61" applyFill="1" applyBorder="1">
      <alignment/>
      <protection/>
    </xf>
    <xf numFmtId="0" fontId="4" fillId="33" borderId="0" xfId="61" applyFill="1" applyBorder="1" applyAlignment="1">
      <alignment horizontal="right"/>
      <protection/>
    </xf>
    <xf numFmtId="0" fontId="4" fillId="33" borderId="30" xfId="61" applyFill="1" applyBorder="1">
      <alignment/>
      <protection/>
    </xf>
    <xf numFmtId="0" fontId="4" fillId="33" borderId="31" xfId="61" applyFill="1" applyBorder="1">
      <alignment/>
      <protection/>
    </xf>
    <xf numFmtId="0" fontId="4" fillId="33" borderId="32" xfId="61" applyFill="1" applyBorder="1">
      <alignment/>
      <protection/>
    </xf>
    <xf numFmtId="0" fontId="4" fillId="33" borderId="51" xfId="61" applyFont="1" applyFill="1" applyBorder="1" applyAlignment="1">
      <alignment horizontal="center"/>
      <protection/>
    </xf>
    <xf numFmtId="0" fontId="4" fillId="33" borderId="28" xfId="6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7" fontId="0" fillId="33" borderId="0" xfId="0" applyNumberFormat="1" applyFill="1" applyBorder="1" applyAlignment="1">
      <alignment/>
    </xf>
    <xf numFmtId="0" fontId="0" fillId="34" borderId="31" xfId="0" applyFill="1" applyBorder="1" applyAlignment="1">
      <alignment horizontal="right"/>
    </xf>
    <xf numFmtId="7" fontId="4" fillId="34" borderId="31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horizontal="right"/>
    </xf>
    <xf numFmtId="0" fontId="0" fillId="34" borderId="32" xfId="0" applyFill="1" applyBorder="1" applyAlignment="1">
      <alignment horizontal="left"/>
    </xf>
    <xf numFmtId="0" fontId="0" fillId="34" borderId="38" xfId="0" applyFill="1" applyBorder="1" applyAlignment="1">
      <alignment/>
    </xf>
    <xf numFmtId="0" fontId="0" fillId="34" borderId="38" xfId="0" applyFont="1" applyFill="1" applyBorder="1" applyAlignment="1">
      <alignment horizontal="center"/>
    </xf>
    <xf numFmtId="0" fontId="0" fillId="34" borderId="31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left"/>
    </xf>
    <xf numFmtId="0" fontId="0" fillId="34" borderId="31" xfId="0" applyNumberFormat="1" applyFont="1" applyFill="1" applyBorder="1" applyAlignment="1">
      <alignment horizontal="right"/>
    </xf>
    <xf numFmtId="7" fontId="0" fillId="34" borderId="31" xfId="0" applyNumberFormat="1" applyFont="1" applyFill="1" applyBorder="1" applyAlignment="1">
      <alignment horizontal="left"/>
    </xf>
    <xf numFmtId="7" fontId="0" fillId="34" borderId="38" xfId="0" applyNumberFormat="1" applyFill="1" applyBorder="1" applyAlignment="1">
      <alignment horizontal="right"/>
    </xf>
    <xf numFmtId="7" fontId="0" fillId="34" borderId="38" xfId="0" applyNumberFormat="1" applyFont="1" applyFill="1" applyBorder="1" applyAlignment="1">
      <alignment horizontal="left"/>
    </xf>
    <xf numFmtId="7" fontId="0" fillId="34" borderId="39" xfId="0" applyNumberFormat="1" applyFill="1" applyBorder="1" applyAlignment="1">
      <alignment horizontal="left"/>
    </xf>
    <xf numFmtId="7" fontId="0" fillId="34" borderId="0" xfId="0" applyNumberFormat="1" applyFont="1" applyFill="1" applyBorder="1" applyAlignment="1">
      <alignment horizontal="right"/>
    </xf>
    <xf numFmtId="7" fontId="5" fillId="0" borderId="64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12" fillId="33" borderId="12" xfId="60" applyFont="1" applyFill="1" applyBorder="1" applyAlignment="1">
      <alignment horizontal="centerContinuous"/>
      <protection/>
    </xf>
    <xf numFmtId="0" fontId="12" fillId="33" borderId="13" xfId="60" applyFont="1" applyFill="1" applyBorder="1" applyAlignment="1">
      <alignment horizontal="centerContinuous"/>
      <protection/>
    </xf>
    <xf numFmtId="0" fontId="12" fillId="33" borderId="14" xfId="60" applyFont="1" applyFill="1" applyBorder="1" applyAlignment="1">
      <alignment horizontal="centerContinuous"/>
      <protection/>
    </xf>
    <xf numFmtId="0" fontId="4" fillId="33" borderId="0" xfId="60" applyFont="1" applyFill="1" applyAlignment="1">
      <alignment horizontal="right"/>
      <protection/>
    </xf>
    <xf numFmtId="0" fontId="4" fillId="33" borderId="16" xfId="60" applyFont="1" applyFill="1" applyBorder="1">
      <alignment/>
      <protection/>
    </xf>
    <xf numFmtId="0" fontId="4" fillId="0" borderId="0" xfId="60" applyFill="1" applyBorder="1">
      <alignment/>
      <protection/>
    </xf>
    <xf numFmtId="0" fontId="4" fillId="33" borderId="18" xfId="60" applyFill="1" applyBorder="1" applyAlignment="1">
      <alignment/>
      <protection/>
    </xf>
    <xf numFmtId="0" fontId="4" fillId="33" borderId="19" xfId="60" applyFill="1" applyBorder="1" applyAlignment="1">
      <alignment/>
      <protection/>
    </xf>
    <xf numFmtId="0" fontId="4" fillId="33" borderId="21" xfId="60" applyFill="1" applyBorder="1" applyAlignment="1">
      <alignment/>
      <protection/>
    </xf>
    <xf numFmtId="0" fontId="4" fillId="33" borderId="15" xfId="60" applyFont="1" applyFill="1" applyBorder="1" applyAlignment="1">
      <alignment horizontal="centerContinuous"/>
      <protection/>
    </xf>
    <xf numFmtId="0" fontId="4" fillId="33" borderId="0" xfId="60" applyFill="1" applyAlignment="1">
      <alignment horizontal="centerContinuous"/>
      <protection/>
    </xf>
    <xf numFmtId="0" fontId="4" fillId="33" borderId="16" xfId="60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65" fontId="0" fillId="0" borderId="0" xfId="0" applyNumberFormat="1" applyAlignment="1" applyProtection="1">
      <alignment horizontal="centerContinuous"/>
      <protection/>
    </xf>
    <xf numFmtId="17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5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5" borderId="56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/>
    </xf>
    <xf numFmtId="0" fontId="0" fillId="35" borderId="50" xfId="0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0" fillId="35" borderId="5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0" borderId="0" xfId="0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0" fillId="36" borderId="50" xfId="0" applyFill="1" applyBorder="1" applyAlignment="1">
      <alignment horizontal="left"/>
    </xf>
    <xf numFmtId="0" fontId="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67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68" xfId="0" applyFill="1" applyBorder="1" applyAlignment="1">
      <alignment/>
    </xf>
    <xf numFmtId="0" fontId="0" fillId="35" borderId="5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66" xfId="0" applyFill="1" applyBorder="1" applyAlignment="1">
      <alignment/>
    </xf>
    <xf numFmtId="0" fontId="13" fillId="36" borderId="56" xfId="0" applyFont="1" applyFill="1" applyBorder="1" applyAlignment="1">
      <alignment horizontal="centerContinuous"/>
    </xf>
    <xf numFmtId="0" fontId="13" fillId="36" borderId="65" xfId="0" applyFont="1" applyFill="1" applyBorder="1" applyAlignment="1">
      <alignment horizontal="centerContinuous"/>
    </xf>
    <xf numFmtId="0" fontId="13" fillId="36" borderId="66" xfId="0" applyFont="1" applyFill="1" applyBorder="1" applyAlignment="1">
      <alignment horizontal="centerContinuous"/>
    </xf>
    <xf numFmtId="0" fontId="24" fillId="36" borderId="56" xfId="0" applyFont="1" applyFill="1" applyBorder="1" applyAlignment="1">
      <alignment horizontal="centerContinuous"/>
    </xf>
    <xf numFmtId="0" fontId="24" fillId="36" borderId="66" xfId="0" applyFont="1" applyFill="1" applyBorder="1" applyAlignment="1">
      <alignment horizontal="centerContinuous"/>
    </xf>
    <xf numFmtId="0" fontId="8" fillId="36" borderId="50" xfId="0" applyFont="1" applyFill="1" applyBorder="1" applyAlignment="1">
      <alignment horizontal="right"/>
    </xf>
    <xf numFmtId="0" fontId="0" fillId="0" borderId="45" xfId="0" applyNumberFormat="1" applyFill="1" applyBorder="1" applyAlignment="1" applyProtection="1">
      <alignment/>
      <protection locked="0"/>
    </xf>
    <xf numFmtId="0" fontId="0" fillId="36" borderId="50" xfId="0" applyNumberFormat="1" applyFill="1" applyBorder="1" applyAlignment="1">
      <alignment/>
    </xf>
    <xf numFmtId="0" fontId="9" fillId="34" borderId="69" xfId="0" applyFont="1" applyFill="1" applyBorder="1" applyAlignment="1">
      <alignment horizontal="center"/>
    </xf>
    <xf numFmtId="179" fontId="9" fillId="34" borderId="7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6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center"/>
    </xf>
    <xf numFmtId="179" fontId="9" fillId="33" borderId="0" xfId="0" applyNumberFormat="1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179" fontId="9" fillId="33" borderId="31" xfId="0" applyNumberFormat="1" applyFont="1" applyFill="1" applyBorder="1" applyAlignment="1">
      <alignment horizontal="center"/>
    </xf>
    <xf numFmtId="0" fontId="0" fillId="33" borderId="67" xfId="0" applyNumberFormat="1" applyFill="1" applyBorder="1" applyAlignment="1" applyProtection="1">
      <alignment/>
      <protection/>
    </xf>
    <xf numFmtId="0" fontId="0" fillId="37" borderId="71" xfId="0" applyNumberFormat="1" applyFill="1" applyBorder="1" applyAlignment="1" applyProtection="1">
      <alignment/>
      <protection/>
    </xf>
    <xf numFmtId="0" fontId="0" fillId="37" borderId="72" xfId="0" applyNumberFormat="1" applyFill="1" applyBorder="1" applyAlignment="1" applyProtection="1">
      <alignment horizontal="right"/>
      <protection/>
    </xf>
    <xf numFmtId="0" fontId="0" fillId="37" borderId="73" xfId="0" applyNumberFormat="1" applyFill="1" applyBorder="1" applyAlignment="1" applyProtection="1">
      <alignment/>
      <protection/>
    </xf>
    <xf numFmtId="0" fontId="0" fillId="37" borderId="74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75" xfId="0" applyFill="1" applyBorder="1" applyAlignment="1">
      <alignment horizontal="center"/>
    </xf>
    <xf numFmtId="0" fontId="0" fillId="37" borderId="76" xfId="0" applyFill="1" applyBorder="1" applyAlignment="1">
      <alignment horizontal="center"/>
    </xf>
    <xf numFmtId="0" fontId="0" fillId="37" borderId="77" xfId="0" applyNumberFormat="1" applyFill="1" applyBorder="1" applyAlignment="1" applyProtection="1">
      <alignment horizontal="center"/>
      <protection/>
    </xf>
    <xf numFmtId="0" fontId="0" fillId="33" borderId="76" xfId="0" applyNumberFormat="1" applyFill="1" applyBorder="1" applyAlignment="1" applyProtection="1">
      <alignment horizontal="left"/>
      <protection/>
    </xf>
    <xf numFmtId="0" fontId="0" fillId="37" borderId="72" xfId="0" applyNumberFormat="1" applyFill="1" applyBorder="1" applyAlignment="1" applyProtection="1">
      <alignment/>
      <protection/>
    </xf>
    <xf numFmtId="0" fontId="0" fillId="37" borderId="78" xfId="0" applyFill="1" applyBorder="1" applyAlignment="1">
      <alignment horizontal="center"/>
    </xf>
    <xf numFmtId="0" fontId="0" fillId="37" borderId="79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 horizontal="centerContinuous"/>
      <protection/>
    </xf>
    <xf numFmtId="0" fontId="0" fillId="33" borderId="63" xfId="0" applyNumberFormat="1" applyFill="1" applyBorder="1" applyAlignment="1" applyProtection="1">
      <alignment horizontal="centerContinuous"/>
      <protection/>
    </xf>
    <xf numFmtId="0" fontId="0" fillId="33" borderId="47" xfId="0" applyNumberFormat="1" applyFill="1" applyBorder="1" applyAlignment="1" applyProtection="1">
      <alignment horizontal="right"/>
      <protection/>
    </xf>
    <xf numFmtId="0" fontId="0" fillId="37" borderId="80" xfId="0" applyFill="1" applyBorder="1" applyAlignment="1">
      <alignment horizontal="center"/>
    </xf>
    <xf numFmtId="0" fontId="0" fillId="37" borderId="81" xfId="0" applyNumberFormat="1" applyFill="1" applyBorder="1" applyAlignment="1" applyProtection="1">
      <alignment horizontal="center"/>
      <protection/>
    </xf>
    <xf numFmtId="0" fontId="0" fillId="37" borderId="47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/>
      <protection/>
    </xf>
    <xf numFmtId="0" fontId="0" fillId="33" borderId="81" xfId="0" applyNumberFormat="1" applyFill="1" applyBorder="1" applyAlignment="1" applyProtection="1">
      <alignment/>
      <protection/>
    </xf>
    <xf numFmtId="0" fontId="0" fillId="33" borderId="82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67" xfId="0" applyFill="1" applyBorder="1" applyAlignment="1">
      <alignment/>
    </xf>
    <xf numFmtId="0" fontId="0" fillId="33" borderId="67" xfId="0" applyNumberFormat="1" applyFill="1" applyBorder="1" applyAlignment="1" applyProtection="1">
      <alignment horizontal="centerContinuous"/>
      <protection/>
    </xf>
    <xf numFmtId="0" fontId="0" fillId="33" borderId="68" xfId="0" applyNumberFormat="1" applyFill="1" applyBorder="1" applyAlignment="1" applyProtection="1">
      <alignment horizontal="centerContinuous"/>
      <protection/>
    </xf>
    <xf numFmtId="0" fontId="0" fillId="33" borderId="67" xfId="0" applyNumberFormat="1" applyFill="1" applyBorder="1" applyAlignment="1" applyProtection="1">
      <alignment horizontal="left"/>
      <protection/>
    </xf>
    <xf numFmtId="0" fontId="0" fillId="33" borderId="83" xfId="0" applyNumberFormat="1" applyFill="1" applyBorder="1" applyAlignment="1" applyProtection="1">
      <alignment/>
      <protection/>
    </xf>
    <xf numFmtId="0" fontId="0" fillId="33" borderId="56" xfId="0" applyNumberFormat="1" applyFill="1" applyBorder="1" applyAlignment="1" applyProtection="1">
      <alignment horizontal="center"/>
      <protection/>
    </xf>
    <xf numFmtId="0" fontId="0" fillId="33" borderId="65" xfId="0" applyNumberFormat="1" applyFill="1" applyBorder="1" applyAlignment="1" applyProtection="1">
      <alignment/>
      <protection/>
    </xf>
    <xf numFmtId="0" fontId="0" fillId="33" borderId="84" xfId="0" applyNumberFormat="1" applyFill="1" applyBorder="1" applyAlignment="1" applyProtection="1">
      <alignment horizontal="centerContinuous"/>
      <protection/>
    </xf>
    <xf numFmtId="0" fontId="0" fillId="33" borderId="66" xfId="0" applyNumberForma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>
      <alignment/>
    </xf>
    <xf numFmtId="0" fontId="0" fillId="37" borderId="85" xfId="0" applyNumberFormat="1" applyFill="1" applyBorder="1" applyAlignment="1" applyProtection="1">
      <alignment horizontal="center"/>
      <protection/>
    </xf>
    <xf numFmtId="0" fontId="0" fillId="37" borderId="86" xfId="0" applyNumberFormat="1" applyFill="1" applyBorder="1" applyAlignment="1" applyProtection="1">
      <alignment horizontal="center"/>
      <protection/>
    </xf>
    <xf numFmtId="0" fontId="0" fillId="37" borderId="87" xfId="0" applyNumberFormat="1" applyFill="1" applyBorder="1" applyAlignment="1" applyProtection="1">
      <alignment horizontal="center"/>
      <protection/>
    </xf>
    <xf numFmtId="0" fontId="0" fillId="37" borderId="88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/>
    </xf>
    <xf numFmtId="0" fontId="0" fillId="38" borderId="89" xfId="0" applyFill="1" applyBorder="1" applyAlignment="1">
      <alignment/>
    </xf>
    <xf numFmtId="0" fontId="0" fillId="38" borderId="90" xfId="0" applyFill="1" applyBorder="1" applyAlignment="1">
      <alignment/>
    </xf>
    <xf numFmtId="0" fontId="0" fillId="38" borderId="91" xfId="0" applyFill="1" applyBorder="1" applyAlignment="1">
      <alignment/>
    </xf>
    <xf numFmtId="0" fontId="0" fillId="37" borderId="51" xfId="0" applyFill="1" applyBorder="1" applyAlignment="1">
      <alignment horizontal="center"/>
    </xf>
    <xf numFmtId="0" fontId="0" fillId="37" borderId="92" xfId="0" applyFill="1" applyBorder="1" applyAlignment="1">
      <alignment horizontal="center"/>
    </xf>
    <xf numFmtId="0" fontId="0" fillId="37" borderId="63" xfId="0" applyFill="1" applyBorder="1" applyAlignment="1">
      <alignment horizontal="center"/>
    </xf>
    <xf numFmtId="0" fontId="0" fillId="37" borderId="93" xfId="0" applyFill="1" applyBorder="1" applyAlignment="1">
      <alignment horizontal="center"/>
    </xf>
    <xf numFmtId="0" fontId="25" fillId="33" borderId="50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10" fillId="33" borderId="28" xfId="0" applyFont="1" applyFill="1" applyBorder="1" applyAlignment="1" applyProtection="1">
      <alignment horizontal="centerContinuous"/>
      <protection/>
    </xf>
    <xf numFmtId="0" fontId="0" fillId="33" borderId="28" xfId="0" applyFont="1" applyFill="1" applyBorder="1" applyAlignment="1" applyProtection="1">
      <alignment horizontal="right"/>
      <protection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0" fillId="33" borderId="95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centerContinuous"/>
      <protection/>
    </xf>
    <xf numFmtId="0" fontId="7" fillId="33" borderId="28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96" xfId="0" applyNumberFormat="1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Continuous"/>
      <protection/>
    </xf>
    <xf numFmtId="0" fontId="0" fillId="33" borderId="28" xfId="0" applyFill="1" applyBorder="1" applyAlignment="1" applyProtection="1">
      <alignment horizontal="centerContinuous"/>
      <protection/>
    </xf>
    <xf numFmtId="0" fontId="4" fillId="0" borderId="0" xfId="58" applyProtection="1">
      <alignment/>
      <protection locked="0"/>
    </xf>
    <xf numFmtId="0" fontId="1" fillId="0" borderId="0" xfId="58" applyFont="1" applyAlignment="1" applyProtection="1">
      <alignment horizontal="right"/>
      <protection locked="0"/>
    </xf>
    <xf numFmtId="0" fontId="4" fillId="0" borderId="54" xfId="58" applyBorder="1" applyProtection="1">
      <alignment/>
      <protection locked="0"/>
    </xf>
    <xf numFmtId="0" fontId="4" fillId="0" borderId="0" xfId="58" applyBorder="1" applyProtection="1">
      <alignment/>
      <protection locked="0"/>
    </xf>
    <xf numFmtId="0" fontId="1" fillId="0" borderId="0" xfId="58" applyFont="1" applyAlignment="1" applyProtection="1">
      <alignment horizontal="center"/>
      <protection locked="0"/>
    </xf>
    <xf numFmtId="0" fontId="4" fillId="0" borderId="0" xfId="58" applyProtection="1" quotePrefix="1">
      <alignment/>
      <protection locked="0"/>
    </xf>
    <xf numFmtId="0" fontId="4" fillId="0" borderId="0" xfId="58" applyFont="1" applyAlignment="1" applyProtection="1">
      <alignment horizontal="right"/>
      <protection locked="0"/>
    </xf>
    <xf numFmtId="0" fontId="1" fillId="0" borderId="97" xfId="58" applyFont="1" applyBorder="1" applyAlignment="1" applyProtection="1">
      <alignment horizontal="centerContinuous"/>
      <protection locked="0"/>
    </xf>
    <xf numFmtId="0" fontId="4" fillId="0" borderId="98" xfId="58" applyBorder="1" applyAlignment="1" applyProtection="1">
      <alignment horizontal="centerContinuous"/>
      <protection locked="0"/>
    </xf>
    <xf numFmtId="0" fontId="1" fillId="0" borderId="99" xfId="58" applyFont="1" applyBorder="1" applyAlignment="1" applyProtection="1">
      <alignment horizontal="center"/>
      <protection locked="0"/>
    </xf>
    <xf numFmtId="0" fontId="1" fillId="0" borderId="100" xfId="58" applyFont="1" applyBorder="1" applyAlignment="1" applyProtection="1">
      <alignment horizontal="center"/>
      <protection locked="0"/>
    </xf>
    <xf numFmtId="0" fontId="1" fillId="0" borderId="97" xfId="58" applyFont="1" applyBorder="1" applyAlignment="1" applyProtection="1">
      <alignment horizontal="center"/>
      <protection locked="0"/>
    </xf>
    <xf numFmtId="0" fontId="1" fillId="0" borderId="101" xfId="58" applyFont="1" applyBorder="1" applyAlignment="1" applyProtection="1">
      <alignment horizontal="center"/>
      <protection locked="0"/>
    </xf>
    <xf numFmtId="182" fontId="4" fillId="0" borderId="102" xfId="58" applyNumberFormat="1" applyBorder="1" applyAlignment="1" applyProtection="1">
      <alignment horizontal="center"/>
      <protection locked="0"/>
    </xf>
    <xf numFmtId="49" fontId="4" fillId="0" borderId="103" xfId="58" applyNumberFormat="1" applyBorder="1" applyAlignment="1" applyProtection="1">
      <alignment horizontal="center"/>
      <protection locked="0"/>
    </xf>
    <xf numFmtId="0" fontId="4" fillId="0" borderId="103" xfId="58" applyBorder="1" applyAlignment="1" applyProtection="1">
      <alignment horizontal="center"/>
      <protection locked="0"/>
    </xf>
    <xf numFmtId="0" fontId="4" fillId="0" borderId="104" xfId="58" applyBorder="1" applyAlignment="1" applyProtection="1">
      <alignment horizontal="center"/>
      <protection locked="0"/>
    </xf>
    <xf numFmtId="0" fontId="4" fillId="0" borderId="105" xfId="58" applyBorder="1" applyAlignment="1" applyProtection="1">
      <alignment horizontal="center"/>
      <protection/>
    </xf>
    <xf numFmtId="182" fontId="4" fillId="0" borderId="106" xfId="58" applyNumberFormat="1" applyBorder="1" applyAlignment="1" applyProtection="1">
      <alignment horizontal="center"/>
      <protection locked="0"/>
    </xf>
    <xf numFmtId="49" fontId="4" fillId="0" borderId="45" xfId="58" applyNumberFormat="1" applyBorder="1" applyAlignment="1" applyProtection="1">
      <alignment horizontal="center"/>
      <protection locked="0"/>
    </xf>
    <xf numFmtId="0" fontId="4" fillId="0" borderId="45" xfId="58" applyBorder="1" applyAlignment="1" applyProtection="1">
      <alignment horizontal="center"/>
      <protection locked="0"/>
    </xf>
    <xf numFmtId="0" fontId="4" fillId="0" borderId="107" xfId="58" applyBorder="1" applyAlignment="1" applyProtection="1">
      <alignment horizontal="center"/>
      <protection locked="0"/>
    </xf>
    <xf numFmtId="0" fontId="4" fillId="0" borderId="108" xfId="58" applyBorder="1" applyAlignment="1" applyProtection="1">
      <alignment horizontal="center"/>
      <protection/>
    </xf>
    <xf numFmtId="182" fontId="4" fillId="0" borderId="109" xfId="58" applyNumberFormat="1" applyBorder="1" applyAlignment="1" applyProtection="1">
      <alignment horizontal="center"/>
      <protection locked="0"/>
    </xf>
    <xf numFmtId="49" fontId="4" fillId="0" borderId="57" xfId="58" applyNumberFormat="1" applyBorder="1" applyAlignment="1" applyProtection="1">
      <alignment horizontal="center"/>
      <protection locked="0"/>
    </xf>
    <xf numFmtId="0" fontId="4" fillId="0" borderId="57" xfId="58" applyBorder="1" applyAlignment="1" applyProtection="1">
      <alignment horizontal="center"/>
      <protection locked="0"/>
    </xf>
    <xf numFmtId="0" fontId="4" fillId="0" borderId="56" xfId="58" applyBorder="1" applyAlignment="1" applyProtection="1">
      <alignment horizontal="center"/>
      <protection locked="0"/>
    </xf>
    <xf numFmtId="182" fontId="4" fillId="0" borderId="110" xfId="58" applyNumberFormat="1" applyBorder="1" applyAlignment="1" applyProtection="1">
      <alignment horizontal="center"/>
      <protection locked="0"/>
    </xf>
    <xf numFmtId="49" fontId="4" fillId="0" borderId="111" xfId="58" applyNumberFormat="1" applyBorder="1" applyAlignment="1" applyProtection="1">
      <alignment horizontal="center"/>
      <protection locked="0"/>
    </xf>
    <xf numFmtId="0" fontId="4" fillId="0" borderId="111" xfId="58" applyBorder="1" applyAlignment="1" applyProtection="1">
      <alignment horizontal="center"/>
      <protection locked="0"/>
    </xf>
    <xf numFmtId="0" fontId="4" fillId="0" borderId="112" xfId="58" applyBorder="1" applyAlignment="1" applyProtection="1">
      <alignment horizontal="center"/>
      <protection locked="0"/>
    </xf>
    <xf numFmtId="0" fontId="4" fillId="0" borderId="113" xfId="58" applyBorder="1" applyAlignment="1" applyProtection="1">
      <alignment horizontal="center"/>
      <protection/>
    </xf>
    <xf numFmtId="0" fontId="4" fillId="0" borderId="114" xfId="58" applyBorder="1" applyAlignment="1" applyProtection="1">
      <alignment horizontal="center"/>
      <protection/>
    </xf>
    <xf numFmtId="0" fontId="4" fillId="0" borderId="115" xfId="58" applyBorder="1" applyAlignment="1" applyProtection="1">
      <alignment horizontal="center"/>
      <protection/>
    </xf>
    <xf numFmtId="0" fontId="4" fillId="0" borderId="116" xfId="58" applyBorder="1" applyAlignment="1" applyProtection="1">
      <alignment horizontal="center"/>
      <protection/>
    </xf>
    <xf numFmtId="0" fontId="4" fillId="0" borderId="0" xfId="58" applyBorder="1" applyAlignment="1" applyProtection="1">
      <alignment horizontal="center"/>
      <protection locked="0"/>
    </xf>
    <xf numFmtId="0" fontId="1" fillId="0" borderId="0" xfId="58" applyFont="1" applyAlignment="1" applyProtection="1">
      <alignment/>
      <protection locked="0"/>
    </xf>
    <xf numFmtId="0" fontId="4" fillId="0" borderId="117" xfId="58" applyBorder="1" applyAlignment="1" applyProtection="1">
      <alignment horizontal="center"/>
      <protection/>
    </xf>
    <xf numFmtId="0" fontId="4" fillId="0" borderId="118" xfId="58" applyBorder="1" applyAlignment="1" applyProtection="1">
      <alignment horizontal="center"/>
      <protection/>
    </xf>
    <xf numFmtId="0" fontId="4" fillId="0" borderId="119" xfId="58" applyBorder="1" applyAlignment="1" applyProtection="1">
      <alignment horizontal="center"/>
      <protection/>
    </xf>
    <xf numFmtId="0" fontId="4" fillId="0" borderId="120" xfId="58" applyBorder="1" applyAlignment="1" applyProtection="1">
      <alignment horizontal="left"/>
      <protection locked="0"/>
    </xf>
    <xf numFmtId="0" fontId="4" fillId="0" borderId="121" xfId="58" applyBorder="1" applyProtection="1">
      <alignment/>
      <protection locked="0"/>
    </xf>
    <xf numFmtId="0" fontId="4" fillId="0" borderId="121" xfId="58" applyBorder="1" applyAlignment="1" applyProtection="1">
      <alignment horizontal="left"/>
      <protection locked="0"/>
    </xf>
    <xf numFmtId="0" fontId="4" fillId="0" borderId="122" xfId="58" applyBorder="1" applyProtection="1">
      <alignment/>
      <protection locked="0"/>
    </xf>
    <xf numFmtId="0" fontId="4" fillId="0" borderId="55" xfId="58" applyBorder="1" applyAlignment="1" applyProtection="1">
      <alignment horizontal="left"/>
      <protection locked="0"/>
    </xf>
    <xf numFmtId="0" fontId="4" fillId="0" borderId="43" xfId="58" applyBorder="1" applyProtection="1">
      <alignment/>
      <protection locked="0"/>
    </xf>
    <xf numFmtId="0" fontId="4" fillId="0" borderId="43" xfId="58" applyBorder="1" applyAlignment="1" applyProtection="1">
      <alignment horizontal="left"/>
      <protection locked="0"/>
    </xf>
    <xf numFmtId="0" fontId="4" fillId="0" borderId="123" xfId="58" applyBorder="1" applyProtection="1">
      <alignment/>
      <protection locked="0"/>
    </xf>
    <xf numFmtId="0" fontId="1" fillId="0" borderId="124" xfId="58" applyFont="1" applyBorder="1" applyAlignment="1" applyProtection="1">
      <alignment horizontal="center"/>
      <protection locked="0"/>
    </xf>
    <xf numFmtId="1" fontId="4" fillId="0" borderId="117" xfId="58" applyNumberFormat="1" applyBorder="1" applyAlignment="1" applyProtection="1">
      <alignment horizontal="center"/>
      <protection/>
    </xf>
    <xf numFmtId="1" fontId="4" fillId="0" borderId="118" xfId="58" applyNumberFormat="1" applyBorder="1" applyAlignment="1" applyProtection="1">
      <alignment horizontal="center"/>
      <protection/>
    </xf>
    <xf numFmtId="1" fontId="4" fillId="0" borderId="119" xfId="58" applyNumberFormat="1" applyBorder="1" applyAlignment="1" applyProtection="1">
      <alignment horizontal="center"/>
      <protection/>
    </xf>
    <xf numFmtId="1" fontId="4" fillId="0" borderId="0" xfId="58" applyNumberFormat="1" applyBorder="1" applyAlignment="1" applyProtection="1">
      <alignment horizontal="center"/>
      <protection locked="0"/>
    </xf>
    <xf numFmtId="0" fontId="4" fillId="0" borderId="51" xfId="58" applyBorder="1" applyAlignment="1" applyProtection="1">
      <alignment horizontal="left"/>
      <protection locked="0"/>
    </xf>
    <xf numFmtId="0" fontId="4" fillId="0" borderId="54" xfId="58" applyBorder="1" applyAlignment="1" applyProtection="1">
      <alignment horizontal="left"/>
      <protection locked="0"/>
    </xf>
    <xf numFmtId="0" fontId="4" fillId="0" borderId="68" xfId="58" applyBorder="1" applyProtection="1">
      <alignment/>
      <protection locked="0"/>
    </xf>
    <xf numFmtId="1" fontId="1" fillId="0" borderId="125" xfId="58" applyNumberFormat="1" applyFont="1" applyBorder="1" applyAlignment="1" applyProtection="1">
      <alignment horizontal="center"/>
      <protection locked="0"/>
    </xf>
    <xf numFmtId="2" fontId="4" fillId="0" borderId="126" xfId="58" applyNumberFormat="1" applyBorder="1" applyAlignment="1" applyProtection="1">
      <alignment horizontal="center"/>
      <protection/>
    </xf>
    <xf numFmtId="2" fontId="4" fillId="0" borderId="127" xfId="58" applyNumberFormat="1" applyBorder="1" applyAlignment="1" applyProtection="1">
      <alignment horizontal="center"/>
      <protection/>
    </xf>
    <xf numFmtId="2" fontId="4" fillId="0" borderId="128" xfId="58" applyNumberFormat="1" applyBorder="1" applyAlignment="1" applyProtection="1">
      <alignment horizontal="center"/>
      <protection/>
    </xf>
    <xf numFmtId="2" fontId="4" fillId="0" borderId="0" xfId="58" applyNumberFormat="1" applyBorder="1" applyAlignment="1" applyProtection="1">
      <alignment horizontal="center"/>
      <protection locked="0"/>
    </xf>
    <xf numFmtId="0" fontId="32" fillId="0" borderId="0" xfId="58" applyFont="1" applyProtection="1">
      <alignment/>
      <protection locked="0"/>
    </xf>
    <xf numFmtId="0" fontId="4" fillId="39" borderId="0" xfId="63" applyFill="1" applyProtection="1">
      <alignment/>
      <protection hidden="1"/>
    </xf>
    <xf numFmtId="0" fontId="4" fillId="39" borderId="0" xfId="63" applyFill="1" applyAlignment="1" applyProtection="1">
      <alignment/>
      <protection hidden="1"/>
    </xf>
    <xf numFmtId="0" fontId="34" fillId="39" borderId="0" xfId="63" applyFont="1" applyFill="1" applyProtection="1">
      <alignment/>
      <protection hidden="1"/>
    </xf>
    <xf numFmtId="0" fontId="34" fillId="39" borderId="0" xfId="63" applyFont="1" applyFill="1" applyProtection="1">
      <alignment/>
      <protection locked="0"/>
    </xf>
    <xf numFmtId="0" fontId="4" fillId="39" borderId="0" xfId="63" applyFill="1" applyAlignment="1" applyProtection="1">
      <alignment horizontal="centerContinuous"/>
      <protection locked="0"/>
    </xf>
    <xf numFmtId="0" fontId="35" fillId="39" borderId="129" xfId="63" applyFont="1" applyFill="1" applyBorder="1" applyAlignment="1" applyProtection="1">
      <alignment horizontal="centerContinuous" vertical="center"/>
      <protection hidden="1"/>
    </xf>
    <xf numFmtId="0" fontId="36" fillId="39" borderId="129" xfId="63" applyFont="1" applyFill="1" applyBorder="1" applyAlignment="1" applyProtection="1">
      <alignment horizontal="centerContinuous"/>
      <protection hidden="1"/>
    </xf>
    <xf numFmtId="0" fontId="36" fillId="39" borderId="130" xfId="63" applyFont="1" applyFill="1" applyBorder="1" applyAlignment="1" applyProtection="1">
      <alignment horizontal="centerContinuous"/>
      <protection hidden="1"/>
    </xf>
    <xf numFmtId="0" fontId="36" fillId="39" borderId="0" xfId="63" applyFont="1" applyFill="1" applyBorder="1" applyAlignment="1" applyProtection="1">
      <alignment/>
      <protection locked="0"/>
    </xf>
    <xf numFmtId="0" fontId="36" fillId="39" borderId="0" xfId="63" applyFont="1" applyFill="1" applyAlignment="1" applyProtection="1">
      <alignment/>
      <protection locked="0"/>
    </xf>
    <xf numFmtId="0" fontId="34" fillId="39" borderId="0" xfId="63" applyFont="1" applyFill="1" applyAlignment="1" applyProtection="1">
      <alignment/>
      <protection locked="0"/>
    </xf>
    <xf numFmtId="0" fontId="37" fillId="39" borderId="0" xfId="63" applyFont="1" applyFill="1" applyProtection="1">
      <alignment/>
      <protection hidden="1"/>
    </xf>
    <xf numFmtId="0" fontId="38" fillId="39" borderId="0" xfId="63" applyFont="1" applyFill="1" applyAlignment="1" applyProtection="1">
      <alignment horizontal="center"/>
      <protection locked="0"/>
    </xf>
    <xf numFmtId="0" fontId="4" fillId="39" borderId="0" xfId="63" applyFill="1" applyProtection="1">
      <alignment/>
      <protection locked="0"/>
    </xf>
    <xf numFmtId="0" fontId="21" fillId="39" borderId="0" xfId="63" applyFont="1" applyFill="1" applyProtection="1">
      <alignment/>
      <protection locked="0"/>
    </xf>
    <xf numFmtId="0" fontId="39" fillId="39" borderId="100" xfId="63" applyFont="1" applyFill="1" applyBorder="1" applyAlignment="1" applyProtection="1">
      <alignment horizontal="center" vertical="center"/>
      <protection locked="0"/>
    </xf>
    <xf numFmtId="0" fontId="4" fillId="39" borderId="0" xfId="63" applyFill="1" applyAlignment="1" applyProtection="1">
      <alignment/>
      <protection locked="0"/>
    </xf>
    <xf numFmtId="0" fontId="34" fillId="39" borderId="0" xfId="63" applyFont="1" applyFill="1" applyAlignment="1" applyProtection="1">
      <alignment horizontal="center"/>
      <protection hidden="1"/>
    </xf>
    <xf numFmtId="0" fontId="40" fillId="39" borderId="0" xfId="63" applyFont="1" applyFill="1" applyProtection="1">
      <alignment/>
      <protection hidden="1"/>
    </xf>
    <xf numFmtId="0" fontId="41" fillId="39" borderId="131" xfId="63" applyFont="1" applyFill="1" applyBorder="1" applyAlignment="1" applyProtection="1">
      <alignment horizontal="center" vertical="center"/>
      <protection hidden="1"/>
    </xf>
    <xf numFmtId="0" fontId="40" fillId="39" borderId="0" xfId="63" applyFont="1" applyFill="1" applyAlignment="1" applyProtection="1">
      <alignment horizontal="center"/>
      <protection hidden="1"/>
    </xf>
    <xf numFmtId="11" fontId="40" fillId="39" borderId="0" xfId="63" applyNumberFormat="1" applyFont="1" applyFill="1" applyProtection="1">
      <alignment/>
      <protection hidden="1"/>
    </xf>
    <xf numFmtId="0" fontId="38" fillId="39" borderId="0" xfId="63" applyFont="1" applyFill="1" applyProtection="1">
      <alignment/>
      <protection hidden="1"/>
    </xf>
    <xf numFmtId="0" fontId="1" fillId="39" borderId="0" xfId="63" applyFont="1" applyFill="1" applyAlignment="1" applyProtection="1">
      <alignment vertical="center"/>
      <protection hidden="1"/>
    </xf>
    <xf numFmtId="0" fontId="34" fillId="39" borderId="0" xfId="63" applyFont="1" applyFill="1" applyAlignment="1" applyProtection="1">
      <alignment/>
      <protection hidden="1"/>
    </xf>
    <xf numFmtId="0" fontId="38" fillId="39" borderId="0" xfId="63" applyFont="1" applyFill="1" applyProtection="1">
      <alignment/>
      <protection locked="0"/>
    </xf>
    <xf numFmtId="0" fontId="35" fillId="39" borderId="130" xfId="63" applyFont="1" applyFill="1" applyBorder="1" applyAlignment="1" applyProtection="1">
      <alignment horizontal="centerContinuous" vertical="center"/>
      <protection hidden="1"/>
    </xf>
    <xf numFmtId="0" fontId="4" fillId="39" borderId="0" xfId="63" applyFill="1" applyAlignment="1" applyProtection="1">
      <alignment horizontal="center"/>
      <protection locked="0"/>
    </xf>
    <xf numFmtId="0" fontId="39" fillId="39" borderId="100" xfId="63" applyFont="1" applyFill="1" applyBorder="1" applyAlignment="1" applyProtection="1">
      <alignment horizontal="center" vertical="center"/>
      <protection locked="0"/>
    </xf>
    <xf numFmtId="0" fontId="44" fillId="39" borderId="0" xfId="63" applyFont="1" applyFill="1" applyAlignment="1" applyProtection="1">
      <alignment/>
      <protection locked="0"/>
    </xf>
    <xf numFmtId="0" fontId="44" fillId="39" borderId="0" xfId="63" applyFont="1" applyFill="1" applyProtection="1">
      <alignment/>
      <protection locked="0"/>
    </xf>
    <xf numFmtId="0" fontId="40" fillId="39" borderId="0" xfId="63" applyFont="1" applyFill="1" applyBorder="1" applyAlignment="1" applyProtection="1">
      <alignment horizontal="centerContinuous" vertical="center"/>
      <protection hidden="1"/>
    </xf>
    <xf numFmtId="0" fontId="40" fillId="39" borderId="0" xfId="63" applyFont="1" applyFill="1" applyBorder="1" applyAlignment="1" applyProtection="1">
      <alignment horizontal="center" vertical="center"/>
      <protection locked="0"/>
    </xf>
    <xf numFmtId="0" fontId="40" fillId="39" borderId="0" xfId="63" applyFont="1" applyFill="1" applyBorder="1" applyAlignment="1" applyProtection="1">
      <alignment horizontal="center" vertical="center"/>
      <protection hidden="1"/>
    </xf>
    <xf numFmtId="0" fontId="34" fillId="39" borderId="0" xfId="63" applyFont="1" applyFill="1" applyBorder="1" applyAlignment="1" applyProtection="1">
      <alignment vertical="center"/>
      <protection hidden="1"/>
    </xf>
    <xf numFmtId="0" fontId="46" fillId="39" borderId="0" xfId="63" applyFont="1" applyFill="1" applyBorder="1" applyAlignment="1" applyProtection="1">
      <alignment/>
      <protection hidden="1"/>
    </xf>
    <xf numFmtId="0" fontId="46" fillId="39" borderId="0" xfId="63" applyFont="1" applyFill="1" applyAlignment="1" applyProtection="1">
      <alignment/>
      <protection hidden="1"/>
    </xf>
    <xf numFmtId="0" fontId="21" fillId="39" borderId="0" xfId="63" applyFont="1" applyFill="1" applyProtection="1">
      <alignment/>
      <protection hidden="1"/>
    </xf>
    <xf numFmtId="0" fontId="47" fillId="0" borderId="45" xfId="59" applyFont="1" applyFill="1" applyBorder="1" applyAlignment="1" applyProtection="1">
      <alignment horizontal="center" vertical="center"/>
      <protection hidden="1"/>
    </xf>
    <xf numFmtId="0" fontId="47" fillId="0" borderId="91" xfId="59" applyFont="1" applyFill="1" applyBorder="1" applyAlignment="1" applyProtection="1">
      <alignment horizontal="center" vertical="center"/>
      <protection hidden="1"/>
    </xf>
    <xf numFmtId="0" fontId="48" fillId="40" borderId="91" xfId="59" applyFont="1" applyFill="1" applyBorder="1" applyAlignment="1" applyProtection="1">
      <alignment horizontal="center" vertical="center"/>
      <protection hidden="1"/>
    </xf>
    <xf numFmtId="0" fontId="48" fillId="0" borderId="91" xfId="59" applyFont="1" applyFill="1" applyBorder="1" applyAlignment="1" applyProtection="1">
      <alignment horizontal="center" vertical="center"/>
      <protection hidden="1"/>
    </xf>
    <xf numFmtId="0" fontId="48" fillId="0" borderId="132" xfId="59" applyFont="1" applyFill="1" applyBorder="1" applyAlignment="1" applyProtection="1">
      <alignment horizontal="center" vertical="center"/>
      <protection hidden="1"/>
    </xf>
    <xf numFmtId="0" fontId="48" fillId="0" borderId="0" xfId="59" applyFont="1" applyFill="1" applyAlignment="1">
      <alignment horizontal="center" vertical="center"/>
      <protection/>
    </xf>
    <xf numFmtId="0" fontId="47" fillId="0" borderId="0" xfId="59" applyFont="1" applyFill="1" applyAlignment="1">
      <alignment horizontal="center" vertical="center"/>
      <protection/>
    </xf>
    <xf numFmtId="14" fontId="47" fillId="0" borderId="5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right" vertical="center"/>
      <protection hidden="1"/>
    </xf>
    <xf numFmtId="0" fontId="47" fillId="0" borderId="68" xfId="59" applyFont="1" applyFill="1" applyBorder="1" applyAlignment="1" applyProtection="1">
      <alignment horizontal="center" vertical="center"/>
      <protection hidden="1"/>
    </xf>
    <xf numFmtId="0" fontId="47" fillId="0" borderId="133" xfId="59" applyFont="1" applyFill="1" applyBorder="1" applyAlignment="1" applyProtection="1">
      <alignment horizontal="center" vertical="center"/>
      <protection hidden="1"/>
    </xf>
    <xf numFmtId="14" fontId="47" fillId="0" borderId="0" xfId="59" applyNumberFormat="1" applyFont="1" applyFill="1" applyAlignment="1">
      <alignment horizontal="center" vertical="center"/>
      <protection/>
    </xf>
    <xf numFmtId="0" fontId="48" fillId="41" borderId="58" xfId="59" applyFont="1" applyFill="1" applyBorder="1" applyAlignment="1" applyProtection="1">
      <alignment horizontal="center" vertical="center"/>
      <protection hidden="1"/>
    </xf>
    <xf numFmtId="0" fontId="48" fillId="41" borderId="68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Alignment="1" applyProtection="1" quotePrefix="1">
      <alignment horizontal="left" vertical="center"/>
      <protection/>
    </xf>
    <xf numFmtId="0" fontId="50" fillId="0" borderId="0" xfId="59" applyFont="1" applyFill="1" applyAlignment="1" applyProtection="1" quotePrefix="1">
      <alignment horizontal="left" vertical="center"/>
      <protection/>
    </xf>
    <xf numFmtId="0" fontId="51" fillId="0" borderId="0" xfId="59" applyFont="1" applyFill="1" applyAlignment="1" applyProtection="1" quotePrefix="1">
      <alignment horizontal="left" vertical="center"/>
      <protection hidden="1"/>
    </xf>
    <xf numFmtId="0" fontId="51" fillId="0" borderId="0" xfId="59" applyFont="1" applyFill="1" applyAlignment="1" applyProtection="1">
      <alignment vertical="center"/>
      <protection/>
    </xf>
    <xf numFmtId="0" fontId="47" fillId="0" borderId="0" xfId="59" applyFont="1" applyFill="1" applyAlignment="1" applyProtection="1">
      <alignment vertical="center"/>
      <protection/>
    </xf>
    <xf numFmtId="0" fontId="52" fillId="0" borderId="0" xfId="59" applyFont="1" applyFill="1" applyAlignment="1">
      <alignment horizontal="left" vertical="center"/>
      <protection/>
    </xf>
    <xf numFmtId="0" fontId="53" fillId="0" borderId="0" xfId="59" applyFont="1" applyFill="1" applyAlignment="1">
      <alignment horizontal="center" vertical="center"/>
      <protection/>
    </xf>
    <xf numFmtId="0" fontId="49" fillId="0" borderId="0" xfId="59" applyFont="1" applyFill="1" applyAlignment="1" applyProtection="1" quotePrefix="1">
      <alignment vertical="center"/>
      <protection/>
    </xf>
    <xf numFmtId="0" fontId="52" fillId="0" borderId="0" xfId="59" applyFont="1" applyFill="1" applyAlignment="1" applyProtection="1">
      <alignment horizontal="centerContinuous" vertical="top"/>
      <protection hidden="1"/>
    </xf>
    <xf numFmtId="0" fontId="53" fillId="0" borderId="0" xfId="59" applyFont="1" applyFill="1" applyAlignment="1" applyProtection="1">
      <alignment horizontal="centerContinuous" vertical="top"/>
      <protection/>
    </xf>
    <xf numFmtId="0" fontId="49" fillId="0" borderId="0" xfId="59" applyFont="1" applyFill="1" applyAlignment="1" applyProtection="1">
      <alignment horizontal="centerContinuous" vertical="center"/>
      <protection/>
    </xf>
    <xf numFmtId="0" fontId="47" fillId="0" borderId="25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>
      <alignment horizontal="center" vertical="center"/>
      <protection hidden="1"/>
    </xf>
    <xf numFmtId="0" fontId="47" fillId="0" borderId="27" xfId="59" applyFont="1" applyFill="1" applyBorder="1" applyAlignment="1" applyProtection="1">
      <alignment horizontal="center" vertical="center"/>
      <protection hidden="1"/>
    </xf>
    <xf numFmtId="0" fontId="47" fillId="0" borderId="28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47" fillId="0" borderId="29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vertical="center"/>
      <protection hidden="1"/>
    </xf>
    <xf numFmtId="0" fontId="49" fillId="0" borderId="0" xfId="59" applyFont="1" applyFill="1" applyBorder="1" applyAlignment="1" applyProtection="1">
      <alignment vertical="center"/>
      <protection hidden="1"/>
    </xf>
    <xf numFmtId="0" fontId="47" fillId="0" borderId="0" xfId="59" applyFont="1" applyFill="1" applyBorder="1" applyAlignment="1" applyProtection="1">
      <alignment vertical="center"/>
      <protection hidden="1"/>
    </xf>
    <xf numFmtId="0" fontId="47" fillId="0" borderId="29" xfId="59" applyFont="1" applyFill="1" applyBorder="1" applyAlignment="1" applyProtection="1">
      <alignment vertical="center"/>
      <protection hidden="1"/>
    </xf>
    <xf numFmtId="0" fontId="55" fillId="0" borderId="0" xfId="59" applyFont="1" applyFill="1" applyBorder="1" applyAlignment="1" applyProtection="1">
      <alignment horizontal="right" vertical="center"/>
      <protection hidden="1"/>
    </xf>
    <xf numFmtId="0" fontId="55" fillId="0" borderId="0" xfId="59" applyFont="1" applyFill="1" applyBorder="1" applyAlignment="1" applyProtection="1">
      <alignment horizontal="left" vertical="center"/>
      <protection hidden="1"/>
    </xf>
    <xf numFmtId="0" fontId="4" fillId="0" borderId="0" xfId="62" applyFill="1">
      <alignment/>
      <protection/>
    </xf>
    <xf numFmtId="0" fontId="56" fillId="0" borderId="28" xfId="59" applyFont="1" applyFill="1" applyBorder="1" applyAlignment="1" applyProtection="1">
      <alignment horizontal="center" vertical="center"/>
      <protection hidden="1"/>
    </xf>
    <xf numFmtId="0" fontId="58" fillId="0" borderId="0" xfId="59" applyFont="1" applyFill="1" applyBorder="1" applyAlignment="1" applyProtection="1">
      <alignment horizontal="center" vertical="center"/>
      <protection hidden="1"/>
    </xf>
    <xf numFmtId="0" fontId="56" fillId="0" borderId="29" xfId="59" applyFont="1" applyFill="1" applyBorder="1" applyAlignment="1" applyProtection="1">
      <alignment horizontal="center" vertical="center"/>
      <protection hidden="1"/>
    </xf>
    <xf numFmtId="0" fontId="56" fillId="0" borderId="0" xfId="59" applyFont="1" applyFill="1" applyAlignment="1">
      <alignment horizontal="center" vertical="center"/>
      <protection/>
    </xf>
    <xf numFmtId="0" fontId="47" fillId="0" borderId="28" xfId="59" applyFont="1" applyFill="1" applyBorder="1" applyAlignment="1" applyProtection="1">
      <alignment horizontal="center" vertical="center"/>
      <protection hidden="1"/>
    </xf>
    <xf numFmtId="0" fontId="61" fillId="42" borderId="102" xfId="59" applyFont="1" applyFill="1" applyBorder="1" applyAlignment="1" applyProtection="1">
      <alignment horizontal="center" vertical="center"/>
      <protection hidden="1"/>
    </xf>
    <xf numFmtId="0" fontId="61" fillId="43" borderId="103" xfId="59" applyFont="1" applyFill="1" applyBorder="1" applyAlignment="1" applyProtection="1">
      <alignment horizontal="center" vertical="center"/>
      <protection hidden="1"/>
    </xf>
    <xf numFmtId="0" fontId="61" fillId="43" borderId="134" xfId="59" applyFont="1" applyFill="1" applyBorder="1" applyAlignment="1" applyProtection="1">
      <alignment horizontal="center" vertical="center"/>
      <protection hidden="1"/>
    </xf>
    <xf numFmtId="0" fontId="61" fillId="43" borderId="135" xfId="59" applyFont="1" applyFill="1" applyBorder="1" applyAlignment="1" applyProtection="1">
      <alignment horizontal="center" vertical="center"/>
      <protection hidden="1"/>
    </xf>
    <xf numFmtId="0" fontId="62" fillId="0" borderId="0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horizontal="center" vertical="center"/>
      <protection hidden="1"/>
    </xf>
    <xf numFmtId="0" fontId="63" fillId="42" borderId="136" xfId="59" applyFont="1" applyFill="1" applyBorder="1" applyAlignment="1" applyProtection="1">
      <alignment horizontal="center" vertical="center"/>
      <protection hidden="1"/>
    </xf>
    <xf numFmtId="0" fontId="64" fillId="0" borderId="137" xfId="59" applyFont="1" applyFill="1" applyBorder="1" applyAlignment="1" applyProtection="1">
      <alignment horizontal="center" vertical="center"/>
      <protection hidden="1"/>
    </xf>
    <xf numFmtId="0" fontId="53" fillId="0" borderId="138" xfId="59" applyFont="1" applyFill="1" applyBorder="1" applyAlignment="1" applyProtection="1">
      <alignment horizontal="center" vertical="center"/>
      <protection hidden="1"/>
    </xf>
    <xf numFmtId="0" fontId="64" fillId="0" borderId="139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Border="1" applyAlignment="1" applyProtection="1">
      <alignment horizontal="center" vertical="center"/>
      <protection hidden="1"/>
    </xf>
    <xf numFmtId="0" fontId="65" fillId="42" borderId="140" xfId="59" applyFont="1" applyFill="1" applyBorder="1" applyAlignment="1" applyProtection="1">
      <alignment horizontal="center" vertical="center"/>
      <protection hidden="1"/>
    </xf>
    <xf numFmtId="0" fontId="63" fillId="42" borderId="140" xfId="59" applyFont="1" applyFill="1" applyBorder="1" applyAlignment="1" applyProtection="1">
      <alignment horizontal="center" vertical="center"/>
      <protection hidden="1"/>
    </xf>
    <xf numFmtId="0" fontId="64" fillId="44" borderId="141" xfId="59" applyFont="1" applyFill="1" applyBorder="1" applyAlignment="1" applyProtection="1">
      <alignment horizontal="center" vertical="center"/>
      <protection hidden="1"/>
    </xf>
    <xf numFmtId="0" fontId="53" fillId="0" borderId="142" xfId="59" applyFont="1" applyFill="1" applyBorder="1" applyAlignment="1" applyProtection="1">
      <alignment horizontal="center" vertical="center"/>
      <protection hidden="1"/>
    </xf>
    <xf numFmtId="0" fontId="64" fillId="0" borderId="143" xfId="59" applyFont="1" applyFill="1" applyBorder="1" applyAlignment="1" applyProtection="1">
      <alignment horizontal="center" vertical="center"/>
      <protection hidden="1"/>
    </xf>
    <xf numFmtId="0" fontId="64" fillId="0" borderId="142" xfId="59" applyFont="1" applyFill="1" applyBorder="1" applyAlignment="1" applyProtection="1">
      <alignment horizontal="center" vertical="center"/>
      <protection hidden="1"/>
    </xf>
    <xf numFmtId="0" fontId="63" fillId="42" borderId="144" xfId="59" applyFont="1" applyFill="1" applyBorder="1" applyAlignment="1" applyProtection="1">
      <alignment horizontal="center" vertical="center"/>
      <protection hidden="1"/>
    </xf>
    <xf numFmtId="0" fontId="64" fillId="44" borderId="145" xfId="59" applyFont="1" applyFill="1" applyBorder="1" applyAlignment="1" applyProtection="1">
      <alignment horizontal="center" vertical="center"/>
      <protection hidden="1"/>
    </xf>
    <xf numFmtId="0" fontId="53" fillId="0" borderId="146" xfId="59" applyFont="1" applyFill="1" applyBorder="1" applyAlignment="1" applyProtection="1">
      <alignment horizontal="center" vertical="center"/>
      <protection hidden="1"/>
    </xf>
    <xf numFmtId="0" fontId="64" fillId="0" borderId="32" xfId="59" applyFont="1" applyFill="1" applyBorder="1" applyAlignment="1" applyProtection="1">
      <alignment horizontal="center" vertical="center"/>
      <protection hidden="1"/>
    </xf>
    <xf numFmtId="0" fontId="65" fillId="42" borderId="144" xfId="59" applyFont="1" applyFill="1" applyBorder="1" applyAlignment="1" applyProtection="1">
      <alignment horizontal="center" vertical="center"/>
      <protection hidden="1"/>
    </xf>
    <xf numFmtId="0" fontId="64" fillId="0" borderId="145" xfId="59" applyFont="1" applyFill="1" applyBorder="1" applyAlignment="1" applyProtection="1">
      <alignment horizontal="center" vertical="center"/>
      <protection hidden="1"/>
    </xf>
    <xf numFmtId="0" fontId="66" fillId="0" borderId="0" xfId="59" applyFont="1" applyFill="1" applyBorder="1" applyAlignment="1" applyProtection="1">
      <alignment horizontal="center" vertical="center"/>
      <protection hidden="1"/>
    </xf>
    <xf numFmtId="0" fontId="67" fillId="0" borderId="0" xfId="59" applyFont="1" applyFill="1" applyBorder="1" applyAlignment="1" applyProtection="1">
      <alignment horizontal="center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65" fillId="42" borderId="136" xfId="59" applyFont="1" applyFill="1" applyBorder="1" applyAlignment="1" applyProtection="1">
      <alignment horizontal="center" vertical="center"/>
      <protection hidden="1"/>
    </xf>
    <xf numFmtId="0" fontId="65" fillId="0" borderId="0" xfId="59" applyFont="1" applyFill="1" applyBorder="1" applyAlignment="1" applyProtection="1">
      <alignment horizontal="center" vertical="center"/>
      <protection hidden="1"/>
    </xf>
    <xf numFmtId="0" fontId="64" fillId="0" borderId="0" xfId="59" applyFont="1" applyFill="1" applyBorder="1" applyAlignment="1" applyProtection="1">
      <alignment horizontal="center" vertical="center"/>
      <protection hidden="1"/>
    </xf>
    <xf numFmtId="0" fontId="53" fillId="0" borderId="0" xfId="59" applyFont="1" applyFill="1" applyBorder="1" applyAlignment="1" applyProtection="1">
      <alignment horizontal="center" vertical="center"/>
      <protection hidden="1"/>
    </xf>
    <xf numFmtId="0" fontId="70" fillId="0" borderId="138" xfId="59" applyFont="1" applyFill="1" applyBorder="1" applyAlignment="1" applyProtection="1">
      <alignment horizontal="center" vertical="center"/>
      <protection hidden="1"/>
    </xf>
    <xf numFmtId="0" fontId="70" fillId="0" borderId="142" xfId="59" applyFont="1" applyFill="1" applyBorder="1" applyAlignment="1" applyProtection="1">
      <alignment horizontal="center" vertical="center"/>
      <protection hidden="1"/>
    </xf>
    <xf numFmtId="0" fontId="64" fillId="44" borderId="137" xfId="59" applyFont="1" applyFill="1" applyBorder="1" applyAlignment="1" applyProtection="1">
      <alignment horizontal="center" vertical="center"/>
      <protection hidden="1"/>
    </xf>
    <xf numFmtId="0" fontId="53" fillId="44" borderId="138" xfId="59" applyFont="1" applyFill="1" applyBorder="1" applyAlignment="1" applyProtection="1">
      <alignment horizontal="center" vertical="center"/>
      <protection hidden="1"/>
    </xf>
    <xf numFmtId="0" fontId="64" fillId="0" borderId="141" xfId="59" applyFont="1" applyFill="1" applyBorder="1" applyAlignment="1" applyProtection="1">
      <alignment horizontal="center" vertical="center"/>
      <protection hidden="1"/>
    </xf>
    <xf numFmtId="0" fontId="53" fillId="44" borderId="142" xfId="59" applyFont="1" applyFill="1" applyBorder="1" applyAlignment="1" applyProtection="1">
      <alignment horizontal="center" vertical="center"/>
      <protection hidden="1"/>
    </xf>
    <xf numFmtId="0" fontId="47" fillId="0" borderId="30" xfId="59" applyFont="1" applyFill="1" applyBorder="1" applyAlignment="1">
      <alignment horizontal="center" vertical="center"/>
      <protection/>
    </xf>
    <xf numFmtId="0" fontId="47" fillId="0" borderId="31" xfId="59" applyFont="1" applyFill="1" applyBorder="1" applyAlignment="1">
      <alignment horizontal="center" vertical="center"/>
      <protection/>
    </xf>
    <xf numFmtId="0" fontId="71" fillId="0" borderId="31" xfId="59" applyFont="1" applyFill="1" applyBorder="1" applyAlignment="1">
      <alignment horizontal="left" vertical="center"/>
      <protection/>
    </xf>
    <xf numFmtId="0" fontId="47" fillId="0" borderId="31" xfId="59" applyFont="1" applyFill="1" applyBorder="1" applyAlignment="1">
      <alignment horizontal="left" vertical="center"/>
      <protection/>
    </xf>
    <xf numFmtId="0" fontId="72" fillId="0" borderId="31" xfId="59" applyFont="1" applyFill="1" applyBorder="1" applyAlignment="1" applyProtection="1">
      <alignment horizontal="left" vertical="center"/>
      <protection locked="0"/>
    </xf>
    <xf numFmtId="0" fontId="73" fillId="0" borderId="31" xfId="59" applyFont="1" applyFill="1" applyBorder="1" applyAlignment="1">
      <alignment horizontal="left" vertical="center"/>
      <protection/>
    </xf>
    <xf numFmtId="0" fontId="74" fillId="0" borderId="31" xfId="59" applyFont="1" applyFill="1" applyBorder="1" applyAlignment="1" applyProtection="1" quotePrefix="1">
      <alignment horizontal="right" vertical="center"/>
      <protection hidden="1"/>
    </xf>
    <xf numFmtId="0" fontId="74" fillId="0" borderId="32" xfId="59" applyFont="1" applyFill="1" applyBorder="1" applyAlignment="1" applyProtection="1" quotePrefix="1">
      <alignment horizontal="right" vertical="center"/>
      <protection hidden="1"/>
    </xf>
    <xf numFmtId="0" fontId="45" fillId="39" borderId="0" xfId="54" applyFont="1" applyFill="1" applyBorder="1" applyAlignment="1" applyProtection="1">
      <alignment/>
      <protection hidden="1"/>
    </xf>
    <xf numFmtId="0" fontId="45" fillId="0" borderId="0" xfId="54" applyFont="1" applyAlignment="1" applyProtection="1">
      <alignment/>
      <protection/>
    </xf>
    <xf numFmtId="0" fontId="59" fillId="0" borderId="31" xfId="59" applyFont="1" applyFill="1" applyBorder="1" applyAlignment="1" applyProtection="1">
      <alignment horizontal="center" vertical="center"/>
      <protection hidden="1"/>
    </xf>
    <xf numFmtId="0" fontId="69" fillId="0" borderId="31" xfId="59" applyFont="1" applyFill="1" applyBorder="1" applyAlignment="1" applyProtection="1">
      <alignment horizontal="center" vertical="center"/>
      <protection hidden="1"/>
    </xf>
    <xf numFmtId="0" fontId="68" fillId="0" borderId="31" xfId="59" applyFont="1" applyFill="1" applyBorder="1" applyAlignment="1" applyProtection="1">
      <alignment horizontal="center" vertical="center"/>
      <protection hidden="1"/>
    </xf>
    <xf numFmtId="0" fontId="49" fillId="42" borderId="0" xfId="59" applyFont="1" applyFill="1" applyAlignment="1" applyProtection="1" quotePrefix="1">
      <alignment horizontal="center" vertical="center"/>
      <protection locked="0"/>
    </xf>
    <xf numFmtId="0" fontId="54" fillId="0" borderId="0" xfId="59" applyFont="1" applyFill="1" applyBorder="1" applyAlignment="1" applyProtection="1">
      <alignment horizontal="left" vertical="center"/>
      <protection hidden="1"/>
    </xf>
    <xf numFmtId="0" fontId="54" fillId="0" borderId="0" xfId="59" applyFont="1" applyFill="1" applyBorder="1" applyAlignment="1" applyProtection="1">
      <alignment horizontal="right" vertical="center"/>
      <protection hidden="1"/>
    </xf>
    <xf numFmtId="0" fontId="57" fillId="0" borderId="31" xfId="59" applyFont="1" applyFill="1" applyBorder="1" applyAlignment="1" applyProtection="1">
      <alignment horizontal="center" vertical="center"/>
      <protection hidden="1"/>
    </xf>
    <xf numFmtId="0" fontId="60" fillId="0" borderId="31" xfId="59" applyFont="1" applyFill="1" applyBorder="1" applyAlignment="1" applyProtection="1">
      <alignment horizontal="center" vertical="center"/>
      <protection hidden="1"/>
    </xf>
    <xf numFmtId="0" fontId="4" fillId="0" borderId="54" xfId="58" applyBorder="1" applyAlignment="1" applyProtection="1">
      <alignment/>
      <protection locked="0"/>
    </xf>
    <xf numFmtId="0" fontId="0" fillId="37" borderId="28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47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Unit Convertion Table" xfId="54"/>
    <cellStyle name="Input" xfId="55"/>
    <cellStyle name="Linked Cell" xfId="56"/>
    <cellStyle name="Neutral" xfId="57"/>
    <cellStyle name="Normal_Blood Pressure Record Lorraine Cliff" xfId="58"/>
    <cellStyle name="Normal_CAL-A4" xfId="59"/>
    <cellStyle name="Normal_Calorie" xfId="60"/>
    <cellStyle name="Normal_Cone Fab" xfId="61"/>
    <cellStyle name="Normal_life_time_calender" xfId="62"/>
    <cellStyle name="Normal_Unit Convertion Tabl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7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75"/>
          <c:w val="0.95225"/>
          <c:h val="0.944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/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/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/>
            </c:numRef>
          </c:val>
          <c:smooth val="0"/>
        </c:ser>
        <c:marker val="1"/>
        <c:axId val="16542961"/>
        <c:axId val="14668922"/>
      </c:line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auto val="1"/>
        <c:lblOffset val="100"/>
        <c:tickLblSkip val="5"/>
        <c:noMultiLvlLbl val="0"/>
      </c:catAx>
      <c:valAx>
        <c:axId val="14668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2961"/>
        <c:crossesAt val="1"/>
        <c:crossBetween val="between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69"/>
          <c:w val="0.543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20</xdr:col>
      <xdr:colOff>142875</xdr:colOff>
      <xdr:row>23</xdr:row>
      <xdr:rowOff>66675</xdr:rowOff>
    </xdr:to>
    <xdr:sp>
      <xdr:nvSpPr>
        <xdr:cNvPr id="1" name="Rectangle 38"/>
        <xdr:cNvSpPr>
          <a:spLocks/>
        </xdr:cNvSpPr>
      </xdr:nvSpPr>
      <xdr:spPr>
        <a:xfrm>
          <a:off x="57150" y="66675"/>
          <a:ext cx="8153400" cy="43815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</xdr:colOff>
      <xdr:row>12</xdr:row>
      <xdr:rowOff>114300</xdr:rowOff>
    </xdr:from>
    <xdr:to>
      <xdr:col>20</xdr:col>
      <xdr:colOff>9525</xdr:colOff>
      <xdr:row>16</xdr:row>
      <xdr:rowOff>152400</xdr:rowOff>
    </xdr:to>
    <xdr:pic>
      <xdr:nvPicPr>
        <xdr:cNvPr id="2" name="Picture 39" descr="ARAMCO-BIG LOGO2-TRANS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400300"/>
          <a:ext cx="1857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200025</xdr:colOff>
      <xdr:row>25</xdr:row>
      <xdr:rowOff>66675</xdr:rowOff>
    </xdr:from>
    <xdr:ext cx="5572125" cy="2743200"/>
    <xdr:sp>
      <xdr:nvSpPr>
        <xdr:cNvPr id="3" name="Text Box 46"/>
        <xdr:cNvSpPr txBox="1">
          <a:spLocks noChangeArrowheads="1"/>
        </xdr:cNvSpPr>
      </xdr:nvSpPr>
      <xdr:spPr>
        <a:xfrm>
          <a:off x="381000" y="4829175"/>
          <a:ext cx="5572125" cy="2743200"/>
        </a:xfrm>
        <a:prstGeom prst="rect">
          <a:avLst/>
        </a:prstGeom>
        <a:solidFill>
          <a:srgbClr val="D9AF5B">
            <a:alpha val="37000"/>
          </a:srgbClr>
        </a:solidFill>
        <a:ln w="85725" cmpd="sng">
          <a:solidFill>
            <a:srgbClr val="9933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Slide Show is brought to you by NidoKidoS Group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Receive more, send an email to
</a:t>
          </a:r>
          <a:r>
            <a:rPr lang="en-US" cap="none" sz="1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nidokidos-subscribe@yahoogroups.com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Join us from website at
</a:t>
          </a:r>
          <a:r>
            <a:rPr lang="en-US" cap="none" sz="1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www.GetNidoKidoS.Com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Also you can participate in our Discussion Forums at
</a:t>
          </a:r>
          <a:r>
            <a:rPr lang="en-US" cap="none" sz="1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www.NidoKidoS.Org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10</xdr:row>
      <xdr:rowOff>38100</xdr:rowOff>
    </xdr:from>
    <xdr:to>
      <xdr:col>6</xdr:col>
      <xdr:colOff>361950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533900" y="2019300"/>
          <a:ext cx="1371600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733925" y="2209800"/>
          <a:ext cx="962025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733925" y="2209800"/>
          <a:ext cx="962025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0</xdr:rowOff>
    </xdr:from>
    <xdr:to>
      <xdr:col>5</xdr:col>
      <xdr:colOff>638175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5095875" y="2552700"/>
          <a:ext cx="24765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381000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733925" y="2657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305425" y="265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9525</xdr:rowOff>
    </xdr:from>
    <xdr:to>
      <xdr:col>6</xdr:col>
      <xdr:colOff>571500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705475" y="3133725"/>
          <a:ext cx="409575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323850</xdr:colOff>
      <xdr:row>12</xdr:row>
      <xdr:rowOff>19050</xdr:rowOff>
    </xdr:from>
    <xdr:to>
      <xdr:col>6</xdr:col>
      <xdr:colOff>800100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867400" y="2381250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123825</xdr:rowOff>
    </xdr:from>
    <xdr:to>
      <xdr:col>5</xdr:col>
      <xdr:colOff>619125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876800" y="3248025"/>
          <a:ext cx="447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28575</xdr:rowOff>
    </xdr:from>
    <xdr:to>
      <xdr:col>6</xdr:col>
      <xdr:colOff>104775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314950" y="3343275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9525</xdr:rowOff>
    </xdr:from>
    <xdr:to>
      <xdr:col>6</xdr:col>
      <xdr:colOff>685800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886450" y="2752725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123825</xdr:colOff>
      <xdr:row>57</xdr:row>
      <xdr:rowOff>85725</xdr:rowOff>
    </xdr:from>
    <xdr:to>
      <xdr:col>25</xdr:col>
      <xdr:colOff>0</xdr:colOff>
      <xdr:row>61</xdr:row>
      <xdr:rowOff>152400</xdr:rowOff>
    </xdr:to>
    <xdr:pic>
      <xdr:nvPicPr>
        <xdr:cNvPr id="2" name="Picture 2" descr="baby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0953750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29</xdr:row>
      <xdr:rowOff>28575</xdr:rowOff>
    </xdr:from>
    <xdr:to>
      <xdr:col>25</xdr:col>
      <xdr:colOff>114300</xdr:colOff>
      <xdr:row>33</xdr:row>
      <xdr:rowOff>171450</xdr:rowOff>
    </xdr:to>
    <xdr:pic>
      <xdr:nvPicPr>
        <xdr:cNvPr id="3" name="Picture 3" descr="baby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4495800"/>
          <a:ext cx="1400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200025</xdr:rowOff>
    </xdr:from>
    <xdr:to>
      <xdr:col>14</xdr:col>
      <xdr:colOff>219075</xdr:colOff>
      <xdr:row>33</xdr:row>
      <xdr:rowOff>133350</xdr:rowOff>
    </xdr:to>
    <xdr:pic>
      <xdr:nvPicPr>
        <xdr:cNvPr id="4" name="Picture 4" descr="baby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443865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57</xdr:row>
      <xdr:rowOff>76200</xdr:rowOff>
    </xdr:from>
    <xdr:to>
      <xdr:col>7</xdr:col>
      <xdr:colOff>47625</xdr:colOff>
      <xdr:row>61</xdr:row>
      <xdr:rowOff>161925</xdr:rowOff>
    </xdr:to>
    <xdr:pic>
      <xdr:nvPicPr>
        <xdr:cNvPr id="5" name="Picture 5" descr="baby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10944225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57</xdr:row>
      <xdr:rowOff>95250</xdr:rowOff>
    </xdr:from>
    <xdr:to>
      <xdr:col>16</xdr:col>
      <xdr:colOff>104775</xdr:colOff>
      <xdr:row>61</xdr:row>
      <xdr:rowOff>142875</xdr:rowOff>
    </xdr:to>
    <xdr:pic>
      <xdr:nvPicPr>
        <xdr:cNvPr id="6" name="Picture 6" descr="baby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1096327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1104900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</xdr:row>
      <xdr:rowOff>114300</xdr:rowOff>
    </xdr:from>
    <xdr:to>
      <xdr:col>6</xdr:col>
      <xdr:colOff>209550</xdr:colOff>
      <xdr:row>20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1133475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29</xdr:row>
      <xdr:rowOff>0</xdr:rowOff>
    </xdr:from>
    <xdr:to>
      <xdr:col>7</xdr:col>
      <xdr:colOff>9525</xdr:colOff>
      <xdr:row>33</xdr:row>
      <xdr:rowOff>104775</xdr:rowOff>
    </xdr:to>
    <xdr:pic>
      <xdr:nvPicPr>
        <xdr:cNvPr id="9" name="Picture 9" descr="baby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4467225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12</xdr:row>
      <xdr:rowOff>57150</xdr:rowOff>
    </xdr:from>
    <xdr:to>
      <xdr:col>24</xdr:col>
      <xdr:colOff>66675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0" y="1076325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43</xdr:row>
      <xdr:rowOff>57150</xdr:rowOff>
    </xdr:from>
    <xdr:to>
      <xdr:col>7</xdr:col>
      <xdr:colOff>95250</xdr:colOff>
      <xdr:row>48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772477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200025</xdr:rowOff>
    </xdr:from>
    <xdr:to>
      <xdr:col>16</xdr:col>
      <xdr:colOff>200025</xdr:colOff>
      <xdr:row>47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76390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</xdr:row>
      <xdr:rowOff>200025</xdr:rowOff>
    </xdr:from>
    <xdr:to>
      <xdr:col>25</xdr:col>
      <xdr:colOff>19050</xdr:colOff>
      <xdr:row>47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0350" y="7639050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rcRect l="14773" t="7142" r="32954" b="17143"/>
        <a:stretch>
          <a:fillRect/>
        </a:stretch>
      </xdr:blipFill>
      <xdr:spPr>
        <a:xfrm>
          <a:off x="1838325" y="7239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rcRect l="21665" t="6060" r="3334" b="1515"/>
        <a:stretch>
          <a:fillRect/>
        </a:stretch>
      </xdr:blipFill>
      <xdr:spPr>
        <a:xfrm>
          <a:off x="5019675" y="17430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295275</xdr:colOff>
      <xdr:row>16</xdr:row>
      <xdr:rowOff>133350</xdr:rowOff>
    </xdr:from>
    <xdr:to>
      <xdr:col>25</xdr:col>
      <xdr:colOff>104775</xdr:colOff>
      <xdr:row>18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18954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31</xdr:row>
      <xdr:rowOff>104775</xdr:rowOff>
    </xdr:from>
    <xdr:to>
      <xdr:col>18</xdr:col>
      <xdr:colOff>47625</xdr:colOff>
      <xdr:row>33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29150" y="502920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0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velink.aramco.com.sa/livelink/livelink.exe?func=ll&amp;objId=12074124&amp;objAction=browse&amp;sort=nam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A23"/>
  <sheetViews>
    <sheetView showGridLines="0" showRowColHeaders="0" zoomScale="110" zoomScaleNormal="110" zoomScalePageLayoutView="0" workbookViewId="0" topLeftCell="A1">
      <selection activeCell="E3" sqref="E3"/>
    </sheetView>
  </sheetViews>
  <sheetFormatPr defaultColWidth="7.10546875" defaultRowHeight="15" customHeight="1"/>
  <cols>
    <col min="1" max="1" width="2.10546875" style="544" customWidth="1"/>
    <col min="2" max="2" width="7.10546875" style="522" customWidth="1"/>
    <col min="3" max="3" width="7.3359375" style="522" customWidth="1"/>
    <col min="4" max="4" width="0" style="522" hidden="1" customWidth="1"/>
    <col min="5" max="5" width="7.10546875" style="522" customWidth="1"/>
    <col min="6" max="6" width="1.88671875" style="522" customWidth="1"/>
    <col min="7" max="7" width="7.10546875" style="522" customWidth="1"/>
    <col min="8" max="8" width="7.3359375" style="522" customWidth="1"/>
    <col min="9" max="9" width="0" style="522" hidden="1" customWidth="1"/>
    <col min="10" max="10" width="7.10546875" style="522" customWidth="1"/>
    <col min="11" max="11" width="1.77734375" style="522" customWidth="1"/>
    <col min="12" max="12" width="7.10546875" style="522" customWidth="1"/>
    <col min="13" max="13" width="7.3359375" style="522" customWidth="1"/>
    <col min="14" max="14" width="0" style="522" hidden="1" customWidth="1"/>
    <col min="15" max="15" width="7.10546875" style="522" customWidth="1"/>
    <col min="16" max="16" width="1.99609375" style="522" customWidth="1"/>
    <col min="17" max="17" width="7.10546875" style="522" customWidth="1"/>
    <col min="18" max="18" width="7.4453125" style="522" customWidth="1"/>
    <col min="19" max="19" width="0" style="522" hidden="1" customWidth="1"/>
    <col min="20" max="20" width="7.10546875" style="522" customWidth="1"/>
    <col min="21" max="21" width="2.10546875" style="524" customWidth="1"/>
    <col min="22" max="23" width="7.10546875" style="524" customWidth="1"/>
    <col min="24" max="24" width="2.4453125" style="524" customWidth="1"/>
    <col min="25" max="25" width="3.10546875" style="539" customWidth="1"/>
    <col min="26" max="26" width="7.3359375" style="524" customWidth="1"/>
    <col min="27" max="27" width="7.10546875" style="524" customWidth="1"/>
    <col min="28" max="28" width="7.10546875" style="540" customWidth="1"/>
    <col min="29" max="29" width="8.21484375" style="540" customWidth="1"/>
    <col min="30" max="30" width="7.10546875" style="524" customWidth="1"/>
    <col min="31" max="31" width="3.10546875" style="539" customWidth="1"/>
    <col min="32" max="32" width="7.3359375" style="524" customWidth="1"/>
    <col min="33" max="33" width="7.10546875" style="524" customWidth="1"/>
    <col min="34" max="34" width="7.10546875" style="540" customWidth="1"/>
    <col min="35" max="35" width="8.21484375" style="540" customWidth="1"/>
    <col min="36" max="36" width="7.10546875" style="524" customWidth="1"/>
    <col min="37" max="37" width="3.10546875" style="539" customWidth="1"/>
    <col min="38" max="38" width="7.3359375" style="524" customWidth="1"/>
    <col min="39" max="39" width="7.10546875" style="524" customWidth="1"/>
    <col min="40" max="40" width="7.10546875" style="540" customWidth="1"/>
    <col min="41" max="41" width="8.21484375" style="540" customWidth="1"/>
    <col min="42" max="42" width="7.10546875" style="524" customWidth="1"/>
    <col min="43" max="43" width="3.10546875" style="539" customWidth="1"/>
    <col min="44" max="44" width="7.3359375" style="524" customWidth="1"/>
    <col min="45" max="45" width="7.10546875" style="524" customWidth="1"/>
    <col min="46" max="46" width="7.10546875" style="540" customWidth="1"/>
    <col min="47" max="47" width="8.21484375" style="540" customWidth="1"/>
    <col min="48" max="48" width="7.10546875" style="524" customWidth="1"/>
    <col min="49" max="49" width="3.10546875" style="539" customWidth="1"/>
    <col min="50" max="50" width="7.3359375" style="524" customWidth="1"/>
    <col min="51" max="51" width="7.10546875" style="524" customWidth="1"/>
    <col min="52" max="52" width="7.10546875" style="540" customWidth="1"/>
    <col min="53" max="53" width="8.21484375" style="540" customWidth="1"/>
    <col min="54" max="54" width="7.10546875" style="524" customWidth="1"/>
    <col min="55" max="55" width="3.10546875" style="539" customWidth="1"/>
    <col min="56" max="56" width="7.3359375" style="524" customWidth="1"/>
    <col min="57" max="57" width="7.10546875" style="524" customWidth="1"/>
    <col min="58" max="58" width="7.10546875" style="540" customWidth="1"/>
    <col min="59" max="59" width="8.21484375" style="540" customWidth="1"/>
    <col min="60" max="60" width="7.10546875" style="524" customWidth="1"/>
    <col min="61" max="61" width="3.10546875" style="539" customWidth="1"/>
    <col min="62" max="62" width="7.3359375" style="524" customWidth="1"/>
    <col min="63" max="63" width="7.10546875" style="524" customWidth="1"/>
    <col min="64" max="64" width="7.10546875" style="540" customWidth="1"/>
    <col min="65" max="65" width="8.21484375" style="540" customWidth="1"/>
    <col min="66" max="66" width="7.10546875" style="524" customWidth="1"/>
    <col min="67" max="67" width="3.10546875" style="539" customWidth="1"/>
    <col min="68" max="68" width="7.3359375" style="524" customWidth="1"/>
    <col min="69" max="69" width="7.10546875" style="524" customWidth="1"/>
    <col min="70" max="70" width="7.10546875" style="540" customWidth="1"/>
    <col min="71" max="71" width="8.21484375" style="540" customWidth="1"/>
    <col min="72" max="72" width="7.10546875" style="524" customWidth="1"/>
    <col min="73" max="73" width="3.10546875" style="539" customWidth="1"/>
    <col min="74" max="74" width="7.3359375" style="524" customWidth="1"/>
    <col min="75" max="75" width="7.10546875" style="524" customWidth="1"/>
    <col min="76" max="76" width="7.10546875" style="540" customWidth="1"/>
    <col min="77" max="77" width="8.21484375" style="540" customWidth="1"/>
    <col min="78" max="78" width="7.10546875" style="524" customWidth="1"/>
    <col min="79" max="79" width="3.10546875" style="539" customWidth="1"/>
    <col min="80" max="80" width="7.3359375" style="524" customWidth="1"/>
    <col min="81" max="81" width="7.10546875" style="524" customWidth="1"/>
    <col min="82" max="82" width="7.10546875" style="540" customWidth="1"/>
    <col min="83" max="83" width="8.21484375" style="540" customWidth="1"/>
    <col min="84" max="84" width="7.10546875" style="524" customWidth="1"/>
    <col min="85" max="85" width="3.10546875" style="539" customWidth="1"/>
    <col min="86" max="86" width="7.3359375" style="524" customWidth="1"/>
    <col min="87" max="87" width="7.10546875" style="524" customWidth="1"/>
    <col min="88" max="88" width="7.10546875" style="540" customWidth="1"/>
    <col min="89" max="89" width="8.21484375" style="540" customWidth="1"/>
    <col min="90" max="90" width="7.10546875" style="524" customWidth="1"/>
    <col min="91" max="91" width="3.10546875" style="539" customWidth="1"/>
    <col min="92" max="92" width="7.3359375" style="524" customWidth="1"/>
    <col min="93" max="93" width="7.10546875" style="524" customWidth="1"/>
    <col min="94" max="94" width="7.10546875" style="540" customWidth="1"/>
    <col min="95" max="95" width="8.21484375" style="540" customWidth="1"/>
    <col min="96" max="96" width="7.10546875" style="524" customWidth="1"/>
    <col min="97" max="97" width="3.10546875" style="539" customWidth="1"/>
    <col min="98" max="98" width="7.3359375" style="524" customWidth="1"/>
    <col min="99" max="99" width="7.10546875" style="524" customWidth="1"/>
    <col min="100" max="100" width="7.10546875" style="540" customWidth="1"/>
    <col min="101" max="101" width="8.21484375" style="540" customWidth="1"/>
    <col min="102" max="102" width="7.10546875" style="524" customWidth="1"/>
    <col min="103" max="103" width="3.10546875" style="539" customWidth="1"/>
    <col min="104" max="104" width="9.6640625" style="524" customWidth="1"/>
    <col min="105" max="105" width="7.10546875" style="524" customWidth="1"/>
    <col min="106" max="106" width="7.10546875" style="540" customWidth="1"/>
    <col min="107" max="107" width="8.21484375" style="540" customWidth="1"/>
    <col min="108" max="108" width="7.10546875" style="524" customWidth="1"/>
    <col min="109" max="109" width="3.10546875" style="539" customWidth="1"/>
    <col min="110" max="110" width="9.6640625" style="524" customWidth="1"/>
    <col min="111" max="111" width="7.10546875" style="524" customWidth="1"/>
    <col min="112" max="112" width="7.10546875" style="540" customWidth="1"/>
    <col min="113" max="113" width="8.21484375" style="540" customWidth="1"/>
    <col min="114" max="114" width="7.10546875" style="524" customWidth="1"/>
    <col min="115" max="115" width="3.10546875" style="539" customWidth="1"/>
    <col min="116" max="116" width="9.6640625" style="524" customWidth="1"/>
    <col min="117" max="117" width="7.10546875" style="524" customWidth="1"/>
    <col min="118" max="118" width="7.10546875" style="540" customWidth="1"/>
    <col min="119" max="119" width="8.21484375" style="540" customWidth="1"/>
    <col min="120" max="120" width="7.10546875" style="524" customWidth="1"/>
    <col min="121" max="121" width="3.10546875" style="539" customWidth="1"/>
    <col min="122" max="122" width="9.6640625" style="524" customWidth="1"/>
    <col min="123" max="123" width="7.10546875" style="524" customWidth="1"/>
    <col min="124" max="124" width="7.10546875" style="540" customWidth="1"/>
    <col min="125" max="125" width="8.21484375" style="540" customWidth="1"/>
    <col min="126" max="126" width="7.10546875" style="524" customWidth="1"/>
    <col min="127" max="127" width="3.10546875" style="539" customWidth="1"/>
    <col min="128" max="128" width="9.6640625" style="524" customWidth="1"/>
    <col min="129" max="129" width="7.10546875" style="524" customWidth="1"/>
    <col min="130" max="130" width="7.10546875" style="540" customWidth="1"/>
    <col min="131" max="131" width="8.21484375" style="540" customWidth="1"/>
    <col min="132" max="16384" width="7.10546875" style="524" customWidth="1"/>
  </cols>
  <sheetData>
    <row r="1" spans="1:131" ht="15" customHeight="1">
      <c r="A1" s="522"/>
      <c r="F1" s="523"/>
      <c r="K1" s="523"/>
      <c r="P1" s="523"/>
      <c r="V1" s="525"/>
      <c r="Y1" s="524"/>
      <c r="AB1" s="524"/>
      <c r="AC1" s="524"/>
      <c r="AE1" s="524"/>
      <c r="AH1" s="524"/>
      <c r="AI1" s="524"/>
      <c r="AK1" s="524"/>
      <c r="AN1" s="524"/>
      <c r="AO1" s="524"/>
      <c r="AQ1" s="524"/>
      <c r="AT1" s="524"/>
      <c r="AU1" s="524"/>
      <c r="AW1" s="524"/>
      <c r="AZ1" s="524"/>
      <c r="BA1" s="524"/>
      <c r="BC1" s="524"/>
      <c r="BF1" s="524"/>
      <c r="BG1" s="524"/>
      <c r="BI1" s="524"/>
      <c r="BL1" s="524"/>
      <c r="BM1" s="524"/>
      <c r="BO1" s="524"/>
      <c r="BR1" s="524"/>
      <c r="BS1" s="524"/>
      <c r="BU1" s="524"/>
      <c r="BX1" s="524"/>
      <c r="BY1" s="524"/>
      <c r="CA1" s="524"/>
      <c r="CD1" s="524"/>
      <c r="CE1" s="524"/>
      <c r="CG1" s="524"/>
      <c r="CJ1" s="524"/>
      <c r="CK1" s="524"/>
      <c r="CM1" s="524"/>
      <c r="CP1" s="524"/>
      <c r="CQ1" s="524"/>
      <c r="CS1" s="524"/>
      <c r="CV1" s="524"/>
      <c r="CW1" s="524"/>
      <c r="CY1" s="524"/>
      <c r="DB1" s="524"/>
      <c r="DC1" s="524"/>
      <c r="DE1" s="524"/>
      <c r="DH1" s="524"/>
      <c r="DI1" s="524"/>
      <c r="DK1" s="524"/>
      <c r="DN1" s="524"/>
      <c r="DO1" s="524"/>
      <c r="DQ1" s="524"/>
      <c r="DT1" s="524"/>
      <c r="DU1" s="524"/>
      <c r="DW1" s="524"/>
      <c r="DZ1" s="524"/>
      <c r="EA1" s="524"/>
    </row>
    <row r="2" spans="1:131" ht="15" customHeight="1" thickBot="1">
      <c r="A2" s="526"/>
      <c r="B2" s="527" t="s">
        <v>1016</v>
      </c>
      <c r="C2" s="528"/>
      <c r="D2" s="528"/>
      <c r="E2" s="529"/>
      <c r="F2" s="530"/>
      <c r="G2" s="527" t="s">
        <v>700</v>
      </c>
      <c r="H2" s="528"/>
      <c r="I2" s="528"/>
      <c r="J2" s="529"/>
      <c r="K2" s="531"/>
      <c r="L2" s="527" t="s">
        <v>701</v>
      </c>
      <c r="M2" s="528"/>
      <c r="N2" s="528"/>
      <c r="O2" s="529"/>
      <c r="P2" s="531"/>
      <c r="Q2" s="527" t="s">
        <v>702</v>
      </c>
      <c r="R2" s="528"/>
      <c r="S2" s="528"/>
      <c r="T2" s="529"/>
      <c r="U2" s="532"/>
      <c r="V2" s="525"/>
      <c r="Y2" s="524"/>
      <c r="AB2" s="524"/>
      <c r="AC2" s="524"/>
      <c r="AE2" s="524"/>
      <c r="AH2" s="524"/>
      <c r="AI2" s="524"/>
      <c r="AK2" s="524"/>
      <c r="AN2" s="524"/>
      <c r="AO2" s="524"/>
      <c r="AQ2" s="524"/>
      <c r="AT2" s="524"/>
      <c r="AU2" s="524"/>
      <c r="AW2" s="524"/>
      <c r="AZ2" s="524"/>
      <c r="BA2" s="524"/>
      <c r="BC2" s="524"/>
      <c r="BF2" s="524"/>
      <c r="BG2" s="524"/>
      <c r="BI2" s="524"/>
      <c r="BL2" s="524"/>
      <c r="BM2" s="524"/>
      <c r="BO2" s="524"/>
      <c r="BR2" s="524"/>
      <c r="BS2" s="524"/>
      <c r="BU2" s="524"/>
      <c r="BX2" s="524"/>
      <c r="BY2" s="524"/>
      <c r="CA2" s="524"/>
      <c r="CD2" s="524"/>
      <c r="CE2" s="524"/>
      <c r="CF2" s="533"/>
      <c r="CG2" s="524"/>
      <c r="CJ2" s="524"/>
      <c r="CK2" s="524"/>
      <c r="CM2" s="524"/>
      <c r="CP2" s="524"/>
      <c r="CQ2" s="524"/>
      <c r="CS2" s="524"/>
      <c r="CV2" s="524"/>
      <c r="CW2" s="524"/>
      <c r="CX2" s="533"/>
      <c r="CY2" s="533"/>
      <c r="CZ2" s="533"/>
      <c r="DA2" s="533"/>
      <c r="DB2" s="533"/>
      <c r="DC2" s="524"/>
      <c r="DE2" s="524"/>
      <c r="DH2" s="524"/>
      <c r="DI2" s="524"/>
      <c r="DK2" s="524"/>
      <c r="DN2" s="524"/>
      <c r="DO2" s="524"/>
      <c r="DQ2" s="524"/>
      <c r="DT2" s="524"/>
      <c r="DU2" s="524"/>
      <c r="DW2" s="524"/>
      <c r="DZ2" s="524"/>
      <c r="EA2" s="524"/>
    </row>
    <row r="3" spans="1:131" ht="15" customHeight="1" thickBot="1">
      <c r="A3" s="534"/>
      <c r="B3" s="535"/>
      <c r="C3" s="535"/>
      <c r="D3" s="536">
        <v>3</v>
      </c>
      <c r="E3" s="537">
        <v>5.7</v>
      </c>
      <c r="F3" s="538"/>
      <c r="G3" s="535"/>
      <c r="H3" s="535"/>
      <c r="I3" s="536">
        <v>1</v>
      </c>
      <c r="J3" s="537">
        <v>1800</v>
      </c>
      <c r="K3" s="538"/>
      <c r="L3" s="535"/>
      <c r="M3" s="535"/>
      <c r="N3" s="536">
        <v>1</v>
      </c>
      <c r="O3" s="537">
        <v>1</v>
      </c>
      <c r="P3" s="538"/>
      <c r="Q3" s="535"/>
      <c r="R3" s="535"/>
      <c r="S3" s="536">
        <v>1</v>
      </c>
      <c r="T3" s="537">
        <v>1</v>
      </c>
      <c r="U3" s="532"/>
      <c r="V3" s="525"/>
      <c r="AB3" s="540">
        <f>VLOOKUP(D3,Y4:AA12,3,FALSE)</f>
        <v>1</v>
      </c>
      <c r="AC3" s="540">
        <f>+E3/AB3</f>
        <v>5.7</v>
      </c>
      <c r="AH3" s="540">
        <f>VLOOKUP(D7,AE4:AG14,3,FALSE)</f>
        <v>0.1781076</v>
      </c>
      <c r="AI3" s="540">
        <f>+E7/AH3</f>
        <v>5.614583543880216</v>
      </c>
      <c r="AN3" s="540">
        <f>VLOOKUP(D11,AK4:AM11,3,FALSE)</f>
        <v>1</v>
      </c>
      <c r="AO3" s="540">
        <f>+E11/AN3</f>
        <v>1</v>
      </c>
      <c r="AT3" s="540">
        <f>VLOOKUP(D15,AQ4:AS17,3,FALSE)</f>
        <v>101.9407</v>
      </c>
      <c r="AU3" s="540">
        <f>+E15/AT3</f>
        <v>4.806716061396478</v>
      </c>
      <c r="AZ3" s="540">
        <f>VLOOKUP(D19,AW4:AY15,3,FALSE)</f>
        <v>1</v>
      </c>
      <c r="BA3" s="540">
        <f>+E19/AZ3</f>
        <v>14.7</v>
      </c>
      <c r="BF3" s="540">
        <f>VLOOKUP(I3,BC4:BE15,3,FALSE)</f>
        <v>1</v>
      </c>
      <c r="BG3" s="540">
        <f>+J3/BF3</f>
        <v>1800</v>
      </c>
      <c r="BL3" s="540">
        <f>VLOOKUP(I7,BI4:BK13,3,FALSE)</f>
        <v>1</v>
      </c>
      <c r="BM3" s="540">
        <f>+J7/BL3</f>
        <v>13650</v>
      </c>
      <c r="BR3" s="540">
        <f>VLOOKUP(I11,BO4:BQ14,3,FALSE)</f>
        <v>1</v>
      </c>
      <c r="BS3" s="540">
        <f>+J11/BR3</f>
        <v>45</v>
      </c>
      <c r="BX3" s="540">
        <f>VLOOKUP(I19,BU4:BW14,3,FALSE)</f>
        <v>0.09290304</v>
      </c>
      <c r="BY3" s="540">
        <f>+J19/BX3</f>
        <v>64583.46250025833</v>
      </c>
      <c r="CD3" s="540">
        <f>VLOOKUP(I15,CA4:CC15,3,FALSE)</f>
        <v>1</v>
      </c>
      <c r="CE3" s="540">
        <f>+J15/CD3</f>
        <v>62.4</v>
      </c>
      <c r="CF3" s="533"/>
      <c r="CJ3" s="540">
        <f>VLOOKUP(N3,CG4:CI12,3,FALSE)</f>
        <v>1</v>
      </c>
      <c r="CK3" s="540">
        <f>+O3/CJ3</f>
        <v>1</v>
      </c>
      <c r="CP3" s="540">
        <f>VLOOKUP(N7,CM4:CO10,3,FALSE)</f>
        <v>100</v>
      </c>
      <c r="CQ3" s="540">
        <f>+O7/CP3</f>
        <v>0.01</v>
      </c>
      <c r="CV3" s="540">
        <f>VLOOKUP(N11,CS4:CU14,3,FALSE)</f>
        <v>1</v>
      </c>
      <c r="CW3" s="540">
        <f>+O11/CV3</f>
        <v>1</v>
      </c>
      <c r="DB3" s="540">
        <f>VLOOKUP(N15,CY4:DA8,3,FALSE)</f>
        <v>1</v>
      </c>
      <c r="DC3" s="540">
        <f>+O15/DB3</f>
        <v>1</v>
      </c>
      <c r="DH3" s="540">
        <f>VLOOKUP(N19,DE4:DG8,3,FALSE)</f>
        <v>1</v>
      </c>
      <c r="DI3" s="540">
        <f>+O19/DH3</f>
        <v>1</v>
      </c>
      <c r="DN3" s="540">
        <f>VLOOKUP(S3,DK4:DM8,3,FALSE)</f>
        <v>1</v>
      </c>
      <c r="DO3" s="540">
        <f>+T3/DN3</f>
        <v>1</v>
      </c>
      <c r="DT3" s="540">
        <f>VLOOKUP(S7,DQ4:DS8,3,FALSE)</f>
        <v>1</v>
      </c>
      <c r="DU3" s="540">
        <f>+T7/DT3</f>
        <v>1</v>
      </c>
      <c r="DZ3" s="540">
        <f>VLOOKUP(S11,DW4:DY8,3,FALSE)</f>
        <v>1</v>
      </c>
      <c r="EA3" s="540">
        <f>+T11/DZ3</f>
        <v>1</v>
      </c>
    </row>
    <row r="4" spans="1:130" ht="15" customHeight="1">
      <c r="A4" s="534"/>
      <c r="B4" s="535"/>
      <c r="C4" s="535"/>
      <c r="D4" s="536">
        <v>4</v>
      </c>
      <c r="E4" s="541">
        <f>VLOOKUP(D4,Y4:AB12,4,FALSE)</f>
        <v>68.4</v>
      </c>
      <c r="F4" s="538"/>
      <c r="G4" s="535"/>
      <c r="H4" s="535"/>
      <c r="I4" s="536">
        <v>3</v>
      </c>
      <c r="J4" s="541">
        <f>VLOOKUP(I4,BC4:BF15,4,FALSE)</f>
        <v>381.67073999999997</v>
      </c>
      <c r="K4" s="538"/>
      <c r="L4" s="535"/>
      <c r="M4" s="535"/>
      <c r="N4" s="536">
        <v>5</v>
      </c>
      <c r="O4" s="541">
        <f>VLOOKUP(N4,CG4:CJ12,4,FALSE)</f>
        <v>0.000671969</v>
      </c>
      <c r="P4" s="538"/>
      <c r="Q4" s="535"/>
      <c r="R4" s="535"/>
      <c r="S4" s="536">
        <v>5</v>
      </c>
      <c r="T4" s="541">
        <f>VLOOKUP(S4,DK4:DN8,4,FALSE)</f>
        <v>3.154591</v>
      </c>
      <c r="U4" s="532"/>
      <c r="V4" s="525"/>
      <c r="Y4" s="542">
        <v>1</v>
      </c>
      <c r="Z4" s="540" t="s">
        <v>703</v>
      </c>
      <c r="AA4" s="543">
        <v>0.0001893939</v>
      </c>
      <c r="AB4" s="540">
        <f aca="true" t="shared" si="0" ref="AB4:AB12">+AA4*$AC$3</f>
        <v>0.00107954523</v>
      </c>
      <c r="AE4" s="542">
        <v>1</v>
      </c>
      <c r="AF4" s="540" t="s">
        <v>834</v>
      </c>
      <c r="AG4" s="543">
        <v>0.03703704</v>
      </c>
      <c r="AH4" s="540">
        <f aca="true" t="shared" si="1" ref="AH4:AH14">+AG4*$AI$3</f>
        <v>0.20794755529803333</v>
      </c>
      <c r="AK4" s="542">
        <v>1</v>
      </c>
      <c r="AL4" s="540" t="s">
        <v>704</v>
      </c>
      <c r="AM4" s="543">
        <v>0.0003786675</v>
      </c>
      <c r="AN4" s="540">
        <f aca="true" t="shared" si="2" ref="AN4:AN11">+AM4*$AO$3</f>
        <v>0.0003786675</v>
      </c>
      <c r="AQ4" s="542">
        <v>1</v>
      </c>
      <c r="AR4" s="540" t="s">
        <v>835</v>
      </c>
      <c r="AS4" s="543">
        <v>1</v>
      </c>
      <c r="AT4" s="540">
        <f aca="true" t="shared" si="3" ref="AT4:AT17">+AS4*$AU$3</f>
        <v>4.806716061396478</v>
      </c>
      <c r="AW4" s="542">
        <v>1</v>
      </c>
      <c r="AX4" s="540" t="s">
        <v>705</v>
      </c>
      <c r="AY4" s="543">
        <v>1</v>
      </c>
      <c r="AZ4" s="540">
        <f aca="true" t="shared" si="4" ref="AZ4:AZ15">+AY4*$BA$3</f>
        <v>14.7</v>
      </c>
      <c r="BC4" s="542">
        <v>1</v>
      </c>
      <c r="BD4" s="540" t="s">
        <v>706</v>
      </c>
      <c r="BE4" s="543">
        <v>1</v>
      </c>
      <c r="BF4" s="540">
        <f aca="true" t="shared" si="5" ref="BF4:BF15">+BE4*$BG$3</f>
        <v>1800</v>
      </c>
      <c r="BI4" s="542">
        <v>1</v>
      </c>
      <c r="BJ4" s="540" t="s">
        <v>707</v>
      </c>
      <c r="BK4" s="543">
        <v>0.0003930148</v>
      </c>
      <c r="BL4" s="540">
        <f aca="true" t="shared" si="6" ref="BL4:BL13">+BK4*$BM$3</f>
        <v>5.36465202</v>
      </c>
      <c r="BO4" s="542">
        <v>1</v>
      </c>
      <c r="BP4" s="540" t="s">
        <v>708</v>
      </c>
      <c r="BQ4" s="543">
        <v>0.00098421</v>
      </c>
      <c r="BR4" s="540">
        <f aca="true" t="shared" si="7" ref="BR4:BR14">+BQ4*$BS$3</f>
        <v>0.044289449999999994</v>
      </c>
      <c r="BU4" s="542">
        <v>1</v>
      </c>
      <c r="BV4" s="540" t="s">
        <v>836</v>
      </c>
      <c r="BW4" s="543">
        <v>1</v>
      </c>
      <c r="BX4" s="540">
        <f aca="true" t="shared" si="8" ref="BX4:BX14">+BW4*$BY$3</f>
        <v>64583.46250025833</v>
      </c>
      <c r="CA4" s="542">
        <v>1</v>
      </c>
      <c r="CB4" s="540" t="s">
        <v>837</v>
      </c>
      <c r="CC4" s="543">
        <v>0.01601846</v>
      </c>
      <c r="CD4" s="540">
        <f aca="true" t="shared" si="9" ref="CD4:CD15">+CC4*$CE$3</f>
        <v>0.999551904</v>
      </c>
      <c r="CF4" s="533"/>
      <c r="CG4" s="542">
        <v>1</v>
      </c>
      <c r="CH4" s="540" t="s">
        <v>709</v>
      </c>
      <c r="CI4" s="540">
        <v>1</v>
      </c>
      <c r="CJ4" s="540">
        <f aca="true" t="shared" si="10" ref="CJ4:CJ12">+CI4*$CK$3</f>
        <v>1</v>
      </c>
      <c r="CM4" s="542">
        <v>1</v>
      </c>
      <c r="CN4" s="540" t="s">
        <v>710</v>
      </c>
      <c r="CO4" s="540">
        <v>100</v>
      </c>
      <c r="CP4" s="540">
        <f aca="true" t="shared" si="11" ref="CP4:CP10">+CO4*$CQ$3</f>
        <v>1</v>
      </c>
      <c r="CS4" s="542">
        <v>1</v>
      </c>
      <c r="CT4" s="540" t="s">
        <v>711</v>
      </c>
      <c r="CU4" s="543">
        <v>0.0002777778</v>
      </c>
      <c r="CV4" s="540">
        <f aca="true" t="shared" si="12" ref="CV4:CV14">+CU4*$CW$3</f>
        <v>0.0002777778</v>
      </c>
      <c r="CY4" s="542">
        <v>1</v>
      </c>
      <c r="CZ4" s="540" t="s">
        <v>838</v>
      </c>
      <c r="DA4" s="543">
        <v>1</v>
      </c>
      <c r="DB4" s="540">
        <f>+DA4*$DC$3</f>
        <v>1</v>
      </c>
      <c r="DE4" s="542">
        <v>1</v>
      </c>
      <c r="DF4" s="540" t="s">
        <v>712</v>
      </c>
      <c r="DG4" s="543">
        <v>1</v>
      </c>
      <c r="DH4" s="540">
        <f>+DG4*$DI$3</f>
        <v>1</v>
      </c>
      <c r="DK4" s="542">
        <v>1</v>
      </c>
      <c r="DL4" s="540" t="s">
        <v>839</v>
      </c>
      <c r="DM4" s="543">
        <v>1</v>
      </c>
      <c r="DN4" s="540">
        <f>+DM4*$DO$3</f>
        <v>1</v>
      </c>
      <c r="DQ4" s="542">
        <v>1</v>
      </c>
      <c r="DR4" s="540" t="s">
        <v>713</v>
      </c>
      <c r="DS4" s="543">
        <v>1</v>
      </c>
      <c r="DT4" s="540">
        <f>+DS4*$DU$3</f>
        <v>1</v>
      </c>
      <c r="DW4" s="542">
        <v>1</v>
      </c>
      <c r="DX4" s="540" t="s">
        <v>714</v>
      </c>
      <c r="DY4" s="543">
        <v>1</v>
      </c>
      <c r="DZ4" s="540">
        <f>+DY4*$EA$3</f>
        <v>1</v>
      </c>
    </row>
    <row r="5" spans="5:130" ht="15" customHeight="1">
      <c r="E5" s="545"/>
      <c r="F5" s="523"/>
      <c r="J5" s="545"/>
      <c r="K5" s="523"/>
      <c r="O5" s="545"/>
      <c r="P5" s="523"/>
      <c r="T5" s="545"/>
      <c r="U5" s="546"/>
      <c r="V5" s="525"/>
      <c r="Y5" s="542">
        <v>2</v>
      </c>
      <c r="Z5" s="540" t="s">
        <v>715</v>
      </c>
      <c r="AA5" s="540">
        <v>0.3333334</v>
      </c>
      <c r="AB5" s="540">
        <f t="shared" si="0"/>
        <v>1.90000038</v>
      </c>
      <c r="AE5" s="542">
        <v>2</v>
      </c>
      <c r="AF5" s="540" t="s">
        <v>716</v>
      </c>
      <c r="AG5" s="540">
        <v>0.1781076</v>
      </c>
      <c r="AH5" s="540">
        <f t="shared" si="1"/>
        <v>1</v>
      </c>
      <c r="AK5" s="542">
        <v>2</v>
      </c>
      <c r="AL5" s="540" t="s">
        <v>717</v>
      </c>
      <c r="AM5" s="543">
        <v>0.009088019</v>
      </c>
      <c r="AN5" s="540">
        <f t="shared" si="2"/>
        <v>0.009088019</v>
      </c>
      <c r="AQ5" s="542">
        <v>2</v>
      </c>
      <c r="AR5" s="540" t="s">
        <v>840</v>
      </c>
      <c r="AS5" s="543">
        <v>60</v>
      </c>
      <c r="AT5" s="540">
        <f t="shared" si="3"/>
        <v>288.4029636837887</v>
      </c>
      <c r="AW5" s="542">
        <v>2</v>
      </c>
      <c r="AX5" s="540" t="s">
        <v>718</v>
      </c>
      <c r="AY5" s="543">
        <v>2.041772</v>
      </c>
      <c r="AZ5" s="540">
        <f t="shared" si="4"/>
        <v>30.014048399999997</v>
      </c>
      <c r="BC5" s="542">
        <v>2</v>
      </c>
      <c r="BD5" s="540" t="s">
        <v>719</v>
      </c>
      <c r="BE5" s="540">
        <v>1.0139</v>
      </c>
      <c r="BF5" s="540">
        <f t="shared" si="5"/>
        <v>1825.02</v>
      </c>
      <c r="BI5" s="542">
        <v>2</v>
      </c>
      <c r="BJ5" s="540" t="s">
        <v>720</v>
      </c>
      <c r="BK5" s="540">
        <v>1</v>
      </c>
      <c r="BL5" s="540">
        <f t="shared" si="6"/>
        <v>13650</v>
      </c>
      <c r="BO5" s="542">
        <v>2</v>
      </c>
      <c r="BP5" s="540" t="s">
        <v>721</v>
      </c>
      <c r="BQ5" s="543">
        <v>0.0011023</v>
      </c>
      <c r="BR5" s="540">
        <f t="shared" si="7"/>
        <v>0.0496035</v>
      </c>
      <c r="BU5" s="542">
        <v>2</v>
      </c>
      <c r="BV5" s="540" t="s">
        <v>841</v>
      </c>
      <c r="BW5" s="543">
        <v>144</v>
      </c>
      <c r="BX5" s="540">
        <f t="shared" si="8"/>
        <v>9300018.600037199</v>
      </c>
      <c r="CA5" s="542">
        <v>2</v>
      </c>
      <c r="CB5" s="540" t="s">
        <v>722</v>
      </c>
      <c r="CC5" s="543">
        <v>0.01601846</v>
      </c>
      <c r="CD5" s="540">
        <f t="shared" si="9"/>
        <v>0.999551904</v>
      </c>
      <c r="CF5" s="533"/>
      <c r="CG5" s="542">
        <v>2</v>
      </c>
      <c r="CH5" s="540" t="s">
        <v>723</v>
      </c>
      <c r="CI5" s="540">
        <v>0.01</v>
      </c>
      <c r="CJ5" s="540">
        <f t="shared" si="10"/>
        <v>0.01</v>
      </c>
      <c r="CM5" s="542">
        <v>2</v>
      </c>
      <c r="CN5" s="540" t="s">
        <v>724</v>
      </c>
      <c r="CO5" s="540">
        <v>1</v>
      </c>
      <c r="CP5" s="540">
        <f t="shared" si="11"/>
        <v>0.01</v>
      </c>
      <c r="CS5" s="542">
        <v>2</v>
      </c>
      <c r="CT5" s="540" t="s">
        <v>725</v>
      </c>
      <c r="CU5" s="543">
        <v>0.01666667</v>
      </c>
      <c r="CV5" s="540">
        <f t="shared" si="12"/>
        <v>0.01666667</v>
      </c>
      <c r="CY5" s="542">
        <v>2</v>
      </c>
      <c r="CZ5" s="540" t="s">
        <v>842</v>
      </c>
      <c r="DA5" s="543">
        <v>0.000135623</v>
      </c>
      <c r="DB5" s="540">
        <f>+DA5*$DC$3</f>
        <v>0.000135623</v>
      </c>
      <c r="DE5" s="542">
        <v>2</v>
      </c>
      <c r="DF5" s="540" t="s">
        <v>726</v>
      </c>
      <c r="DG5" s="543">
        <v>0.004133789</v>
      </c>
      <c r="DH5" s="540">
        <f>+DG5*$DI$3</f>
        <v>0.004133789</v>
      </c>
      <c r="DK5" s="542">
        <v>2</v>
      </c>
      <c r="DL5" s="540" t="s">
        <v>843</v>
      </c>
      <c r="DM5" s="543">
        <v>7.534611E-05</v>
      </c>
      <c r="DN5" s="540">
        <f>+DM5*$DO$3</f>
        <v>7.534611E-05</v>
      </c>
      <c r="DQ5" s="542">
        <v>2</v>
      </c>
      <c r="DR5" s="540" t="s">
        <v>727</v>
      </c>
      <c r="DS5" s="543">
        <v>0.5555556</v>
      </c>
      <c r="DT5" s="540">
        <f>+DS5*$DU$3</f>
        <v>0.5555556</v>
      </c>
      <c r="DW5" s="542">
        <v>2</v>
      </c>
      <c r="DX5" s="540" t="s">
        <v>728</v>
      </c>
      <c r="DY5" s="543">
        <v>1</v>
      </c>
      <c r="DZ5" s="540">
        <f>+DY5*$EA$3</f>
        <v>1</v>
      </c>
    </row>
    <row r="6" spans="1:130" ht="15" customHeight="1" thickBot="1">
      <c r="A6" s="547"/>
      <c r="B6" s="527" t="s">
        <v>729</v>
      </c>
      <c r="C6" s="528"/>
      <c r="D6" s="528"/>
      <c r="E6" s="548"/>
      <c r="F6" s="531"/>
      <c r="G6" s="527" t="s">
        <v>730</v>
      </c>
      <c r="H6" s="528"/>
      <c r="I6" s="528"/>
      <c r="J6" s="548"/>
      <c r="K6" s="531"/>
      <c r="L6" s="527" t="s">
        <v>731</v>
      </c>
      <c r="M6" s="528"/>
      <c r="N6" s="528"/>
      <c r="O6" s="548"/>
      <c r="P6" s="531"/>
      <c r="Q6" s="527" t="s">
        <v>732</v>
      </c>
      <c r="R6" s="528"/>
      <c r="S6" s="528"/>
      <c r="T6" s="548"/>
      <c r="U6" s="532"/>
      <c r="V6" s="525"/>
      <c r="Y6" s="542">
        <v>3</v>
      </c>
      <c r="Z6" s="540" t="s">
        <v>733</v>
      </c>
      <c r="AA6" s="540">
        <v>1</v>
      </c>
      <c r="AB6" s="540">
        <f t="shared" si="0"/>
        <v>5.7</v>
      </c>
      <c r="AE6" s="542">
        <v>3</v>
      </c>
      <c r="AF6" s="540" t="s">
        <v>844</v>
      </c>
      <c r="AG6" s="540">
        <v>1</v>
      </c>
      <c r="AH6" s="540">
        <f t="shared" si="1"/>
        <v>5.614583543880216</v>
      </c>
      <c r="AK6" s="542">
        <v>3</v>
      </c>
      <c r="AL6" s="540" t="s">
        <v>734</v>
      </c>
      <c r="AM6" s="540">
        <v>0.3786675</v>
      </c>
      <c r="AN6" s="540">
        <f t="shared" si="2"/>
        <v>0.3786675</v>
      </c>
      <c r="AQ6" s="542">
        <v>3</v>
      </c>
      <c r="AR6" s="540" t="s">
        <v>845</v>
      </c>
      <c r="AS6" s="540">
        <v>3600</v>
      </c>
      <c r="AT6" s="540">
        <f t="shared" si="3"/>
        <v>17304.17782102732</v>
      </c>
      <c r="AW6" s="542">
        <v>3</v>
      </c>
      <c r="AX6" s="540" t="s">
        <v>735</v>
      </c>
      <c r="AY6" s="540">
        <v>51.71508</v>
      </c>
      <c r="AZ6" s="540">
        <f t="shared" si="4"/>
        <v>760.211676</v>
      </c>
      <c r="BC6" s="542">
        <v>3</v>
      </c>
      <c r="BD6" s="540" t="s">
        <v>736</v>
      </c>
      <c r="BE6" s="543">
        <v>0.2120393</v>
      </c>
      <c r="BF6" s="540">
        <f t="shared" si="5"/>
        <v>381.67073999999997</v>
      </c>
      <c r="BI6" s="542">
        <v>3</v>
      </c>
      <c r="BJ6" s="540" t="s">
        <v>846</v>
      </c>
      <c r="BK6" s="543">
        <v>778.1693</v>
      </c>
      <c r="BL6" s="540">
        <f t="shared" si="6"/>
        <v>10622010.945</v>
      </c>
      <c r="BO6" s="542">
        <v>3</v>
      </c>
      <c r="BP6" s="540" t="s">
        <v>737</v>
      </c>
      <c r="BQ6" s="543">
        <v>0.001</v>
      </c>
      <c r="BR6" s="540">
        <f t="shared" si="7"/>
        <v>0.045</v>
      </c>
      <c r="BU6" s="542">
        <v>3</v>
      </c>
      <c r="BV6" s="540" t="s">
        <v>847</v>
      </c>
      <c r="BW6" s="543">
        <v>0.1111111</v>
      </c>
      <c r="BX6" s="540">
        <f t="shared" si="8"/>
        <v>7175.939560212453</v>
      </c>
      <c r="CA6" s="542">
        <v>3</v>
      </c>
      <c r="CB6" s="540" t="s">
        <v>738</v>
      </c>
      <c r="CC6" s="543">
        <v>16.01846</v>
      </c>
      <c r="CD6" s="540">
        <f t="shared" si="9"/>
        <v>999.551904</v>
      </c>
      <c r="CF6" s="533"/>
      <c r="CG6" s="542">
        <v>3</v>
      </c>
      <c r="CH6" s="540" t="s">
        <v>739</v>
      </c>
      <c r="CI6" s="540">
        <v>0.001</v>
      </c>
      <c r="CJ6" s="540">
        <f t="shared" si="10"/>
        <v>0.001</v>
      </c>
      <c r="CM6" s="542">
        <v>3</v>
      </c>
      <c r="CN6" s="540" t="s">
        <v>848</v>
      </c>
      <c r="CO6" s="540">
        <v>0.001076391</v>
      </c>
      <c r="CP6" s="540">
        <f t="shared" si="11"/>
        <v>1.076391E-05</v>
      </c>
      <c r="CS6" s="542">
        <v>3</v>
      </c>
      <c r="CT6" s="540" t="s">
        <v>740</v>
      </c>
      <c r="CU6" s="540">
        <v>1</v>
      </c>
      <c r="CV6" s="540">
        <f t="shared" si="12"/>
        <v>1</v>
      </c>
      <c r="CY6" s="542">
        <v>3</v>
      </c>
      <c r="CZ6" s="540" t="s">
        <v>849</v>
      </c>
      <c r="DA6" s="543">
        <v>0.0005678264</v>
      </c>
      <c r="DB6" s="540">
        <f>+DA6*$DC$3</f>
        <v>0.0005678264</v>
      </c>
      <c r="DE6" s="542">
        <v>3</v>
      </c>
      <c r="DF6" s="540" t="s">
        <v>741</v>
      </c>
      <c r="DG6" s="543">
        <v>0.01730735</v>
      </c>
      <c r="DH6" s="540">
        <f>+DG6*$DI$3</f>
        <v>0.01730735</v>
      </c>
      <c r="DK6" s="542">
        <v>3</v>
      </c>
      <c r="DL6" s="540" t="s">
        <v>850</v>
      </c>
      <c r="DM6" s="543">
        <v>0.0003154591</v>
      </c>
      <c r="DN6" s="540">
        <f>+DM6*$DO$3</f>
        <v>0.0003154591</v>
      </c>
      <c r="DQ6" s="542">
        <v>3</v>
      </c>
      <c r="DR6" s="540" t="s">
        <v>742</v>
      </c>
      <c r="DS6" s="543">
        <v>2.326</v>
      </c>
      <c r="DT6" s="540">
        <f>+DS6*$DU$3</f>
        <v>2.326</v>
      </c>
      <c r="DW6" s="542">
        <v>3</v>
      </c>
      <c r="DX6" s="540" t="s">
        <v>743</v>
      </c>
      <c r="DY6" s="543">
        <v>4.1868</v>
      </c>
      <c r="DZ6" s="540">
        <f>+DY6*$EA$3</f>
        <v>4.1868</v>
      </c>
    </row>
    <row r="7" spans="1:130" ht="15" customHeight="1" thickBot="1">
      <c r="A7" s="549"/>
      <c r="B7" s="535"/>
      <c r="C7" s="535"/>
      <c r="D7" s="536">
        <v>2</v>
      </c>
      <c r="E7" s="550">
        <v>1</v>
      </c>
      <c r="F7" s="538"/>
      <c r="G7" s="535"/>
      <c r="H7" s="535"/>
      <c r="I7" s="536">
        <v>2</v>
      </c>
      <c r="J7" s="550">
        <v>13650</v>
      </c>
      <c r="K7" s="538"/>
      <c r="L7" s="535"/>
      <c r="M7" s="535"/>
      <c r="N7" s="536">
        <v>1</v>
      </c>
      <c r="O7" s="550">
        <v>1</v>
      </c>
      <c r="P7" s="538"/>
      <c r="Q7" s="535"/>
      <c r="R7" s="535"/>
      <c r="S7" s="536">
        <v>1</v>
      </c>
      <c r="T7" s="550">
        <v>1</v>
      </c>
      <c r="U7" s="532"/>
      <c r="V7" s="525"/>
      <c r="Y7" s="542">
        <v>4</v>
      </c>
      <c r="Z7" s="540" t="s">
        <v>744</v>
      </c>
      <c r="AA7" s="540">
        <v>12</v>
      </c>
      <c r="AB7" s="540">
        <f t="shared" si="0"/>
        <v>68.4</v>
      </c>
      <c r="AE7" s="542">
        <v>4</v>
      </c>
      <c r="AF7" s="540" t="s">
        <v>745</v>
      </c>
      <c r="AG7" s="540">
        <v>6.228833</v>
      </c>
      <c r="AH7" s="540">
        <f t="shared" si="1"/>
        <v>34.97230325937804</v>
      </c>
      <c r="AK7" s="542">
        <v>4</v>
      </c>
      <c r="AL7" s="540" t="s">
        <v>746</v>
      </c>
      <c r="AM7" s="540">
        <v>9.088018</v>
      </c>
      <c r="AN7" s="540">
        <f t="shared" si="2"/>
        <v>9.088018</v>
      </c>
      <c r="AQ7" s="542">
        <v>4</v>
      </c>
      <c r="AR7" s="540" t="s">
        <v>747</v>
      </c>
      <c r="AS7" s="540">
        <v>641.1874</v>
      </c>
      <c r="AT7" s="540">
        <f t="shared" si="3"/>
        <v>3082.005773945048</v>
      </c>
      <c r="AW7" s="542">
        <v>4</v>
      </c>
      <c r="AX7" s="540" t="s">
        <v>851</v>
      </c>
      <c r="AY7" s="540">
        <v>2.308966</v>
      </c>
      <c r="AZ7" s="540">
        <f t="shared" si="4"/>
        <v>33.941800199999996</v>
      </c>
      <c r="BC7" s="542">
        <v>4</v>
      </c>
      <c r="BD7" s="540" t="s">
        <v>748</v>
      </c>
      <c r="BE7" s="540">
        <v>42.39055</v>
      </c>
      <c r="BF7" s="540">
        <f t="shared" si="5"/>
        <v>76302.98999999999</v>
      </c>
      <c r="BI7" s="542">
        <v>4</v>
      </c>
      <c r="BJ7" s="540" t="s">
        <v>749</v>
      </c>
      <c r="BK7" s="543">
        <v>0.0002930711</v>
      </c>
      <c r="BL7" s="540">
        <f t="shared" si="6"/>
        <v>4.000420515</v>
      </c>
      <c r="BO7" s="542">
        <v>4</v>
      </c>
      <c r="BP7" s="540" t="s">
        <v>750</v>
      </c>
      <c r="BQ7" s="543">
        <v>2.2046</v>
      </c>
      <c r="BR7" s="540">
        <f t="shared" si="7"/>
        <v>99.20700000000001</v>
      </c>
      <c r="BU7" s="542">
        <v>4</v>
      </c>
      <c r="BV7" s="540" t="s">
        <v>852</v>
      </c>
      <c r="BW7" s="543">
        <v>3.587007E-08</v>
      </c>
      <c r="BX7" s="540">
        <f t="shared" si="8"/>
        <v>0.0023166133207266413</v>
      </c>
      <c r="CA7" s="542">
        <v>4</v>
      </c>
      <c r="CB7" s="540" t="s">
        <v>751</v>
      </c>
      <c r="CC7" s="543">
        <v>60.6364508</v>
      </c>
      <c r="CD7" s="540">
        <f t="shared" si="9"/>
        <v>3783.7145299199997</v>
      </c>
      <c r="CF7" s="533"/>
      <c r="CG7" s="542">
        <v>4</v>
      </c>
      <c r="CH7" s="540" t="s">
        <v>752</v>
      </c>
      <c r="CI7" s="540">
        <v>2.419088</v>
      </c>
      <c r="CJ7" s="540">
        <f t="shared" si="10"/>
        <v>2.419088</v>
      </c>
      <c r="CM7" s="542">
        <v>4</v>
      </c>
      <c r="CN7" s="540" t="s">
        <v>853</v>
      </c>
      <c r="CO7" s="540">
        <v>3.875008</v>
      </c>
      <c r="CP7" s="540">
        <f t="shared" si="11"/>
        <v>0.03875008</v>
      </c>
      <c r="CS7" s="542">
        <v>4</v>
      </c>
      <c r="CT7" s="540" t="s">
        <v>753</v>
      </c>
      <c r="CU7" s="540">
        <v>24</v>
      </c>
      <c r="CV7" s="540">
        <f t="shared" si="12"/>
        <v>24</v>
      </c>
      <c r="CY7" s="542">
        <v>4</v>
      </c>
      <c r="CZ7" s="540" t="s">
        <v>854</v>
      </c>
      <c r="DA7" s="540">
        <v>4.882428</v>
      </c>
      <c r="DB7" s="540">
        <f>+DA7*$DC$3</f>
        <v>4.882428</v>
      </c>
      <c r="DE7" s="542">
        <v>4</v>
      </c>
      <c r="DF7" s="540" t="s">
        <v>754</v>
      </c>
      <c r="DG7" s="540">
        <v>1.488164</v>
      </c>
      <c r="DH7" s="540">
        <f>+DG7*$DI$3</f>
        <v>1.488164</v>
      </c>
      <c r="DK7" s="542">
        <v>4</v>
      </c>
      <c r="DL7" s="540" t="s">
        <v>855</v>
      </c>
      <c r="DM7" s="540">
        <v>2.71246</v>
      </c>
      <c r="DN7" s="540">
        <f>+DM7*$DO$3</f>
        <v>2.71246</v>
      </c>
      <c r="DQ7" s="542">
        <v>4</v>
      </c>
      <c r="DR7" s="540" t="s">
        <v>755</v>
      </c>
      <c r="DS7" s="540">
        <v>555.5556</v>
      </c>
      <c r="DT7" s="540">
        <f>+DS7*$DU$3</f>
        <v>555.5556</v>
      </c>
      <c r="DW7" s="542">
        <v>4</v>
      </c>
      <c r="DX7" s="540" t="s">
        <v>756</v>
      </c>
      <c r="DY7" s="540">
        <v>1000</v>
      </c>
      <c r="DZ7" s="540">
        <f>+DY7*$EA$3</f>
        <v>1000</v>
      </c>
    </row>
    <row r="8" spans="1:130" ht="15" customHeight="1">
      <c r="A8" s="549"/>
      <c r="B8" s="535"/>
      <c r="C8" s="535"/>
      <c r="D8" s="536">
        <v>5</v>
      </c>
      <c r="E8" s="541">
        <f>VLOOKUP(D8,AE4:AH14,4,FALSE)</f>
        <v>41.99999887708329</v>
      </c>
      <c r="F8" s="538"/>
      <c r="G8" s="535"/>
      <c r="H8" s="535"/>
      <c r="I8" s="536">
        <v>4</v>
      </c>
      <c r="J8" s="541">
        <f>VLOOKUP(I8,BI4:BL13,4,FALSE)</f>
        <v>4.000420515</v>
      </c>
      <c r="K8" s="538"/>
      <c r="L8" s="535"/>
      <c r="M8" s="535"/>
      <c r="N8" s="536">
        <v>5</v>
      </c>
      <c r="O8" s="541">
        <f>VLOOKUP(N8,CM4:CP10,4,FALSE)</f>
        <v>1.0000000000000002E-06</v>
      </c>
      <c r="P8" s="538"/>
      <c r="Q8" s="535"/>
      <c r="R8" s="535"/>
      <c r="S8" s="536">
        <v>5</v>
      </c>
      <c r="T8" s="541">
        <f>VLOOKUP(S8,DQ4:DT8,4,FALSE)</f>
        <v>2326</v>
      </c>
      <c r="U8" s="532"/>
      <c r="V8" s="525"/>
      <c r="Y8" s="542">
        <v>5</v>
      </c>
      <c r="Z8" s="540" t="s">
        <v>757</v>
      </c>
      <c r="AA8" s="543">
        <v>0.0003048</v>
      </c>
      <c r="AB8" s="540">
        <f t="shared" si="0"/>
        <v>0.0017373599999999999</v>
      </c>
      <c r="AE8" s="542">
        <v>5</v>
      </c>
      <c r="AF8" s="540" t="s">
        <v>758</v>
      </c>
      <c r="AG8" s="543">
        <v>7.480519</v>
      </c>
      <c r="AH8" s="540">
        <f t="shared" si="1"/>
        <v>41.99999887708329</v>
      </c>
      <c r="AK8" s="542">
        <v>5</v>
      </c>
      <c r="AL8" s="540" t="s">
        <v>759</v>
      </c>
      <c r="AM8" s="543">
        <v>1</v>
      </c>
      <c r="AN8" s="540">
        <f t="shared" si="2"/>
        <v>1</v>
      </c>
      <c r="AQ8" s="542">
        <v>5</v>
      </c>
      <c r="AR8" s="540" t="s">
        <v>760</v>
      </c>
      <c r="AS8" s="543">
        <v>15388.5</v>
      </c>
      <c r="AT8" s="540">
        <f t="shared" si="3"/>
        <v>73968.1501107997</v>
      </c>
      <c r="AW8" s="542">
        <v>5</v>
      </c>
      <c r="AX8" s="540" t="s">
        <v>856</v>
      </c>
      <c r="AY8" s="543">
        <v>27.70759</v>
      </c>
      <c r="AZ8" s="540">
        <f t="shared" si="4"/>
        <v>407.30157299999996</v>
      </c>
      <c r="BC8" s="542">
        <v>5</v>
      </c>
      <c r="BD8" s="540" t="s">
        <v>761</v>
      </c>
      <c r="BE8" s="540">
        <v>2544.433</v>
      </c>
      <c r="BF8" s="540">
        <f t="shared" si="5"/>
        <v>4579979.4</v>
      </c>
      <c r="BI8" s="542">
        <v>5</v>
      </c>
      <c r="BJ8" s="540" t="s">
        <v>762</v>
      </c>
      <c r="BK8" s="540">
        <v>252.1644</v>
      </c>
      <c r="BL8" s="540">
        <f t="shared" si="6"/>
        <v>3442044.06</v>
      </c>
      <c r="BO8" s="542">
        <v>5</v>
      </c>
      <c r="BP8" s="540" t="s">
        <v>763</v>
      </c>
      <c r="BQ8" s="540">
        <v>35.274</v>
      </c>
      <c r="BR8" s="540">
        <f t="shared" si="7"/>
        <v>1587.33</v>
      </c>
      <c r="BU8" s="542">
        <v>5</v>
      </c>
      <c r="BV8" s="540" t="s">
        <v>857</v>
      </c>
      <c r="BW8" s="540">
        <v>92903.04</v>
      </c>
      <c r="BX8" s="540">
        <f t="shared" si="8"/>
        <v>5999999999.999999</v>
      </c>
      <c r="CA8" s="542">
        <v>5</v>
      </c>
      <c r="CB8" s="540" t="s">
        <v>858</v>
      </c>
      <c r="CC8" s="540">
        <v>16.01846</v>
      </c>
      <c r="CD8" s="540">
        <f t="shared" si="9"/>
        <v>999.551904</v>
      </c>
      <c r="CF8" s="533"/>
      <c r="CG8" s="542">
        <v>5</v>
      </c>
      <c r="CH8" s="540" t="s">
        <v>764</v>
      </c>
      <c r="CI8" s="543">
        <v>0.000671969</v>
      </c>
      <c r="CJ8" s="540">
        <f t="shared" si="10"/>
        <v>0.000671969</v>
      </c>
      <c r="CM8" s="542">
        <v>5</v>
      </c>
      <c r="CN8" s="540" t="s">
        <v>859</v>
      </c>
      <c r="CO8" s="543">
        <v>0.0001</v>
      </c>
      <c r="CP8" s="540">
        <f t="shared" si="11"/>
        <v>1.0000000000000002E-06</v>
      </c>
      <c r="CS8" s="542">
        <v>5</v>
      </c>
      <c r="CT8" s="540" t="s">
        <v>765</v>
      </c>
      <c r="CU8" s="543">
        <v>0.0001259979</v>
      </c>
      <c r="CV8" s="540">
        <f t="shared" si="12"/>
        <v>0.0001259979</v>
      </c>
      <c r="CY8" s="542">
        <v>5</v>
      </c>
      <c r="CZ8" s="540" t="s">
        <v>860</v>
      </c>
      <c r="DA8" s="543">
        <v>5.678264</v>
      </c>
      <c r="DB8" s="540">
        <f>+DA8*$DC$3</f>
        <v>5.678264</v>
      </c>
      <c r="DE8" s="542">
        <v>5</v>
      </c>
      <c r="DF8" s="540" t="s">
        <v>766</v>
      </c>
      <c r="DG8" s="543">
        <v>1.730735</v>
      </c>
      <c r="DH8" s="540">
        <f>+DG8*$DI$3</f>
        <v>1.730735</v>
      </c>
      <c r="DK8" s="542">
        <v>5</v>
      </c>
      <c r="DL8" s="540" t="s">
        <v>861</v>
      </c>
      <c r="DM8" s="543">
        <v>3.154591</v>
      </c>
      <c r="DN8" s="540">
        <f>+DM8*$DO$3</f>
        <v>3.154591</v>
      </c>
      <c r="DQ8" s="542">
        <v>5</v>
      </c>
      <c r="DR8" s="540" t="s">
        <v>767</v>
      </c>
      <c r="DS8" s="543">
        <v>2326</v>
      </c>
      <c r="DT8" s="540">
        <f>+DS8*$DU$3</f>
        <v>2326</v>
      </c>
      <c r="DW8" s="542">
        <v>5</v>
      </c>
      <c r="DX8" s="540" t="s">
        <v>768</v>
      </c>
      <c r="DY8" s="543">
        <v>4186.8</v>
      </c>
      <c r="DZ8" s="540">
        <f>+DY8*$EA$3</f>
        <v>4186.8</v>
      </c>
    </row>
    <row r="9" spans="5:129" ht="15" customHeight="1">
      <c r="E9" s="545"/>
      <c r="F9" s="523"/>
      <c r="J9" s="545"/>
      <c r="K9" s="523"/>
      <c r="O9" s="545"/>
      <c r="P9" s="523"/>
      <c r="T9" s="545"/>
      <c r="U9" s="546"/>
      <c r="Y9" s="542">
        <v>6</v>
      </c>
      <c r="Z9" s="540" t="s">
        <v>769</v>
      </c>
      <c r="AA9" s="543">
        <v>0.3048</v>
      </c>
      <c r="AB9" s="540">
        <f t="shared" si="0"/>
        <v>1.7373600000000002</v>
      </c>
      <c r="AE9" s="542">
        <v>6</v>
      </c>
      <c r="AF9" s="540" t="s">
        <v>770</v>
      </c>
      <c r="AG9" s="540">
        <v>957.5065</v>
      </c>
      <c r="AH9" s="540">
        <f t="shared" si="1"/>
        <v>5376.000238058342</v>
      </c>
      <c r="AK9" s="542">
        <v>6</v>
      </c>
      <c r="AL9" s="540" t="s">
        <v>771</v>
      </c>
      <c r="AM9" s="540">
        <v>24</v>
      </c>
      <c r="AN9" s="540">
        <f t="shared" si="2"/>
        <v>24</v>
      </c>
      <c r="AQ9" s="542">
        <v>6</v>
      </c>
      <c r="AR9" s="540" t="s">
        <v>772</v>
      </c>
      <c r="AS9" s="540">
        <v>448.8312</v>
      </c>
      <c r="AT9" s="540">
        <f t="shared" si="3"/>
        <v>2157.404137895855</v>
      </c>
      <c r="AW9" s="542">
        <v>6</v>
      </c>
      <c r="AX9" s="540" t="s">
        <v>773</v>
      </c>
      <c r="AY9" s="540">
        <v>51.71508</v>
      </c>
      <c r="AZ9" s="540">
        <f t="shared" si="4"/>
        <v>760.211676</v>
      </c>
      <c r="BC9" s="542">
        <v>6</v>
      </c>
      <c r="BD9" s="540" t="s">
        <v>774</v>
      </c>
      <c r="BE9" s="540">
        <v>0.7456999</v>
      </c>
      <c r="BF9" s="540">
        <f t="shared" si="5"/>
        <v>1342.25982</v>
      </c>
      <c r="BI9" s="542">
        <v>6</v>
      </c>
      <c r="BJ9" s="540" t="s">
        <v>775</v>
      </c>
      <c r="BK9" s="540">
        <v>0.2521644</v>
      </c>
      <c r="BL9" s="540">
        <f t="shared" si="6"/>
        <v>3442.04406</v>
      </c>
      <c r="BO9" s="542">
        <v>6</v>
      </c>
      <c r="BP9" s="540" t="s">
        <v>776</v>
      </c>
      <c r="BQ9" s="540">
        <v>1</v>
      </c>
      <c r="BR9" s="540">
        <f t="shared" si="7"/>
        <v>45</v>
      </c>
      <c r="BU9" s="542">
        <v>6</v>
      </c>
      <c r="BV9" s="540" t="s">
        <v>862</v>
      </c>
      <c r="BW9" s="540">
        <v>929.0304</v>
      </c>
      <c r="BX9" s="540">
        <f t="shared" si="8"/>
        <v>59999999.99999999</v>
      </c>
      <c r="CA9" s="542">
        <v>6</v>
      </c>
      <c r="CB9" s="540" t="s">
        <v>863</v>
      </c>
      <c r="CC9" s="543">
        <v>0.0005787037</v>
      </c>
      <c r="CD9" s="540">
        <f t="shared" si="9"/>
        <v>0.03611111088</v>
      </c>
      <c r="CF9" s="533"/>
      <c r="CG9" s="542">
        <v>6</v>
      </c>
      <c r="CH9" s="540" t="s">
        <v>864</v>
      </c>
      <c r="CI9" s="543">
        <v>2.088544E-05</v>
      </c>
      <c r="CJ9" s="540">
        <f t="shared" si="10"/>
        <v>2.088544E-05</v>
      </c>
      <c r="CM9" s="542">
        <v>6</v>
      </c>
      <c r="CN9" s="540" t="s">
        <v>865</v>
      </c>
      <c r="CO9" s="543">
        <v>0.36</v>
      </c>
      <c r="CP9" s="540">
        <f t="shared" si="11"/>
        <v>0.0036</v>
      </c>
      <c r="CS9" s="542">
        <v>6</v>
      </c>
      <c r="CT9" s="540" t="s">
        <v>777</v>
      </c>
      <c r="CU9" s="543">
        <v>0.007559873</v>
      </c>
      <c r="CV9" s="540">
        <f t="shared" si="12"/>
        <v>0.007559873</v>
      </c>
      <c r="CY9" s="542"/>
      <c r="CZ9" s="540"/>
      <c r="DA9" s="543"/>
      <c r="DE9" s="542"/>
      <c r="DF9" s="540"/>
      <c r="DG9" s="543"/>
      <c r="DK9" s="542"/>
      <c r="DL9" s="540"/>
      <c r="DM9" s="543"/>
      <c r="DQ9" s="542"/>
      <c r="DR9" s="540"/>
      <c r="DS9" s="543"/>
      <c r="DW9" s="542"/>
      <c r="DX9" s="540"/>
      <c r="DY9" s="543"/>
    </row>
    <row r="10" spans="1:129" ht="15" customHeight="1" thickBot="1">
      <c r="A10" s="547"/>
      <c r="B10" s="527" t="s">
        <v>778</v>
      </c>
      <c r="C10" s="528"/>
      <c r="D10" s="528"/>
      <c r="E10" s="548"/>
      <c r="F10" s="531"/>
      <c r="G10" s="527" t="s">
        <v>779</v>
      </c>
      <c r="H10" s="528"/>
      <c r="I10" s="528"/>
      <c r="J10" s="548"/>
      <c r="K10" s="531"/>
      <c r="L10" s="527" t="s">
        <v>780</v>
      </c>
      <c r="M10" s="528"/>
      <c r="N10" s="528"/>
      <c r="O10" s="548"/>
      <c r="P10" s="531"/>
      <c r="Q10" s="527" t="s">
        <v>781</v>
      </c>
      <c r="R10" s="528"/>
      <c r="S10" s="528"/>
      <c r="T10" s="548"/>
      <c r="U10" s="532"/>
      <c r="V10" s="525"/>
      <c r="Y10" s="542">
        <v>7</v>
      </c>
      <c r="Z10" s="540" t="s">
        <v>782</v>
      </c>
      <c r="AA10" s="543">
        <v>30.48</v>
      </c>
      <c r="AB10" s="540">
        <f t="shared" si="0"/>
        <v>173.73600000000002</v>
      </c>
      <c r="AE10" s="542">
        <v>7</v>
      </c>
      <c r="AF10" s="540" t="s">
        <v>866</v>
      </c>
      <c r="AG10" s="540">
        <v>1728</v>
      </c>
      <c r="AH10" s="540">
        <f t="shared" si="1"/>
        <v>9702.000363825013</v>
      </c>
      <c r="AK10" s="542">
        <v>7</v>
      </c>
      <c r="AL10" s="540" t="s">
        <v>783</v>
      </c>
      <c r="AM10" s="540">
        <v>453.5924</v>
      </c>
      <c r="AN10" s="540">
        <f t="shared" si="2"/>
        <v>453.5924</v>
      </c>
      <c r="AQ10" s="542">
        <v>7</v>
      </c>
      <c r="AR10" s="540" t="s">
        <v>784</v>
      </c>
      <c r="AS10" s="540">
        <v>646316.9</v>
      </c>
      <c r="AT10" s="540">
        <f t="shared" si="3"/>
        <v>3106661.8239819813</v>
      </c>
      <c r="AW10" s="542">
        <v>7</v>
      </c>
      <c r="AX10" s="540" t="s">
        <v>785</v>
      </c>
      <c r="AY10" s="543">
        <v>0.06804596</v>
      </c>
      <c r="AZ10" s="540">
        <f t="shared" si="4"/>
        <v>1.000275612</v>
      </c>
      <c r="BC10" s="542">
        <v>7</v>
      </c>
      <c r="BD10" s="540" t="s">
        <v>786</v>
      </c>
      <c r="BE10" s="543">
        <v>178.23</v>
      </c>
      <c r="BF10" s="540">
        <f t="shared" si="5"/>
        <v>320814</v>
      </c>
      <c r="BI10" s="542">
        <v>7</v>
      </c>
      <c r="BJ10" s="540" t="s">
        <v>787</v>
      </c>
      <c r="BK10" s="543">
        <v>1055.056</v>
      </c>
      <c r="BL10" s="540">
        <f t="shared" si="6"/>
        <v>14401514.4</v>
      </c>
      <c r="BO10" s="542">
        <v>7</v>
      </c>
      <c r="BP10" s="540" t="s">
        <v>788</v>
      </c>
      <c r="BQ10" s="543">
        <v>1000</v>
      </c>
      <c r="BR10" s="540">
        <f t="shared" si="7"/>
        <v>45000</v>
      </c>
      <c r="BU10" s="542">
        <v>7</v>
      </c>
      <c r="BV10" s="540" t="s">
        <v>867</v>
      </c>
      <c r="BW10" s="543">
        <v>0.09290304</v>
      </c>
      <c r="BX10" s="540">
        <f t="shared" si="8"/>
        <v>6000</v>
      </c>
      <c r="CA10" s="542">
        <v>7</v>
      </c>
      <c r="CB10" s="540" t="s">
        <v>868</v>
      </c>
      <c r="CC10" s="543">
        <v>1</v>
      </c>
      <c r="CD10" s="540">
        <f t="shared" si="9"/>
        <v>62.4</v>
      </c>
      <c r="CF10" s="533"/>
      <c r="CG10" s="542">
        <v>7</v>
      </c>
      <c r="CH10" s="540" t="s">
        <v>869</v>
      </c>
      <c r="CI10" s="543">
        <v>1.450378E-07</v>
      </c>
      <c r="CJ10" s="540">
        <f t="shared" si="10"/>
        <v>1.450378E-07</v>
      </c>
      <c r="CM10" s="542">
        <v>7</v>
      </c>
      <c r="CN10" s="540" t="s">
        <v>870</v>
      </c>
      <c r="CO10" s="543">
        <v>1</v>
      </c>
      <c r="CP10" s="540">
        <f t="shared" si="11"/>
        <v>0.01</v>
      </c>
      <c r="CS10" s="542">
        <v>7</v>
      </c>
      <c r="CT10" s="540" t="s">
        <v>789</v>
      </c>
      <c r="CU10" s="543">
        <v>0.4535924</v>
      </c>
      <c r="CV10" s="540">
        <f t="shared" si="12"/>
        <v>0.4535924</v>
      </c>
      <c r="CY10" s="542"/>
      <c r="CZ10" s="540"/>
      <c r="DA10" s="543"/>
      <c r="DE10" s="542"/>
      <c r="DF10" s="540"/>
      <c r="DG10" s="543"/>
      <c r="DK10" s="542"/>
      <c r="DL10" s="540"/>
      <c r="DM10" s="543"/>
      <c r="DQ10" s="542"/>
      <c r="DR10" s="540"/>
      <c r="DS10" s="543"/>
      <c r="DW10" s="542"/>
      <c r="DX10" s="540"/>
      <c r="DY10" s="543"/>
    </row>
    <row r="11" spans="1:129" ht="15" customHeight="1" thickBot="1">
      <c r="A11" s="549"/>
      <c r="B11" s="535"/>
      <c r="C11" s="535"/>
      <c r="D11" s="536">
        <v>5</v>
      </c>
      <c r="E11" s="550">
        <v>1</v>
      </c>
      <c r="F11" s="538"/>
      <c r="G11" s="535"/>
      <c r="H11" s="535"/>
      <c r="I11" s="536">
        <v>6</v>
      </c>
      <c r="J11" s="550">
        <v>45</v>
      </c>
      <c r="K11" s="538"/>
      <c r="L11" s="535"/>
      <c r="M11" s="535"/>
      <c r="N11" s="536">
        <v>3</v>
      </c>
      <c r="O11" s="550">
        <v>1</v>
      </c>
      <c r="P11" s="538"/>
      <c r="Q11" s="535"/>
      <c r="R11" s="535"/>
      <c r="S11" s="536">
        <v>1</v>
      </c>
      <c r="T11" s="550">
        <v>1</v>
      </c>
      <c r="U11" s="532"/>
      <c r="V11" s="525"/>
      <c r="Y11" s="542">
        <v>8</v>
      </c>
      <c r="Z11" s="540" t="s">
        <v>132</v>
      </c>
      <c r="AA11" s="543">
        <v>304.8</v>
      </c>
      <c r="AB11" s="540">
        <f t="shared" si="0"/>
        <v>1737.3600000000001</v>
      </c>
      <c r="AE11" s="542">
        <v>8</v>
      </c>
      <c r="AF11" s="540" t="s">
        <v>871</v>
      </c>
      <c r="AG11" s="543">
        <v>0.02831685</v>
      </c>
      <c r="AH11" s="540">
        <f t="shared" si="1"/>
        <v>0.1589873200245245</v>
      </c>
      <c r="AK11" s="542">
        <v>8</v>
      </c>
      <c r="AL11" s="540" t="s">
        <v>790</v>
      </c>
      <c r="AM11" s="543">
        <v>10886.22</v>
      </c>
      <c r="AN11" s="540">
        <f t="shared" si="2"/>
        <v>10886.22</v>
      </c>
      <c r="AQ11" s="542">
        <v>8</v>
      </c>
      <c r="AR11" s="540" t="s">
        <v>872</v>
      </c>
      <c r="AS11" s="543">
        <v>0.02831685</v>
      </c>
      <c r="AT11" s="540">
        <f t="shared" si="3"/>
        <v>0.13611105770315485</v>
      </c>
      <c r="AW11" s="542">
        <v>8</v>
      </c>
      <c r="AX11" s="540" t="s">
        <v>791</v>
      </c>
      <c r="AY11" s="543">
        <v>0.06894757</v>
      </c>
      <c r="AZ11" s="540">
        <f t="shared" si="4"/>
        <v>1.013529279</v>
      </c>
      <c r="BC11" s="542">
        <v>8</v>
      </c>
      <c r="BD11" s="540" t="s">
        <v>792</v>
      </c>
      <c r="BE11" s="540">
        <v>10693.8</v>
      </c>
      <c r="BF11" s="540">
        <f t="shared" si="5"/>
        <v>19248840</v>
      </c>
      <c r="BI11" s="542">
        <v>8</v>
      </c>
      <c r="BJ11" s="540" t="s">
        <v>793</v>
      </c>
      <c r="BK11" s="540">
        <v>1055.056</v>
      </c>
      <c r="BL11" s="540">
        <f t="shared" si="6"/>
        <v>14401514.4</v>
      </c>
      <c r="BO11" s="542">
        <v>8</v>
      </c>
      <c r="BP11" s="540" t="s">
        <v>794</v>
      </c>
      <c r="BQ11" s="540">
        <v>1000000</v>
      </c>
      <c r="BR11" s="540">
        <f t="shared" si="7"/>
        <v>45000000</v>
      </c>
      <c r="BU11" s="542">
        <v>8</v>
      </c>
      <c r="BV11" s="540" t="s">
        <v>873</v>
      </c>
      <c r="BW11" s="543">
        <v>9.290304E-08</v>
      </c>
      <c r="BX11" s="540">
        <f t="shared" si="8"/>
        <v>0.005999999999999999</v>
      </c>
      <c r="CA11" s="542">
        <v>8</v>
      </c>
      <c r="CB11" s="540" t="s">
        <v>795</v>
      </c>
      <c r="CC11" s="543">
        <v>0.1336806</v>
      </c>
      <c r="CD11" s="540">
        <f t="shared" si="9"/>
        <v>8.34166944</v>
      </c>
      <c r="CF11" s="533"/>
      <c r="CG11" s="542">
        <v>8</v>
      </c>
      <c r="CH11" s="540" t="s">
        <v>796</v>
      </c>
      <c r="CI11" s="540">
        <v>1</v>
      </c>
      <c r="CJ11" s="540">
        <f t="shared" si="10"/>
        <v>1</v>
      </c>
      <c r="CM11" s="542"/>
      <c r="CN11" s="540"/>
      <c r="CO11" s="540"/>
      <c r="CS11" s="542">
        <v>8</v>
      </c>
      <c r="CT11" s="540" t="s">
        <v>797</v>
      </c>
      <c r="CU11" s="540">
        <v>10.8862176</v>
      </c>
      <c r="CV11" s="540">
        <f t="shared" si="12"/>
        <v>10.8862176</v>
      </c>
      <c r="CY11" s="542"/>
      <c r="CZ11" s="540"/>
      <c r="DA11" s="540"/>
      <c r="DE11" s="542"/>
      <c r="DF11" s="540"/>
      <c r="DG11" s="540"/>
      <c r="DK11" s="542"/>
      <c r="DL11" s="540"/>
      <c r="DM11" s="540"/>
      <c r="DQ11" s="542"/>
      <c r="DR11" s="540"/>
      <c r="DS11" s="540"/>
      <c r="DW11" s="542"/>
      <c r="DX11" s="540"/>
      <c r="DY11" s="540"/>
    </row>
    <row r="12" spans="1:131" ht="15" customHeight="1">
      <c r="A12" s="549"/>
      <c r="B12" s="535"/>
      <c r="C12" s="535"/>
      <c r="D12" s="536">
        <v>3</v>
      </c>
      <c r="E12" s="541">
        <f>VLOOKUP(D12,AK4:AN11,4,FALSE)</f>
        <v>0.3786675</v>
      </c>
      <c r="F12" s="538"/>
      <c r="G12" s="535"/>
      <c r="H12" s="535"/>
      <c r="I12" s="536">
        <v>4</v>
      </c>
      <c r="J12" s="541">
        <f>VLOOKUP(I12,BO4:BR14,4,FALSE)</f>
        <v>99.20700000000001</v>
      </c>
      <c r="K12" s="538"/>
      <c r="L12" s="535"/>
      <c r="M12" s="535"/>
      <c r="N12" s="536">
        <v>6</v>
      </c>
      <c r="O12" s="541">
        <f>VLOOKUP(N12,CS4:CV14,4,FALSE)</f>
        <v>0.007559873</v>
      </c>
      <c r="P12" s="538"/>
      <c r="Q12" s="535"/>
      <c r="R12" s="535"/>
      <c r="S12" s="536">
        <v>5</v>
      </c>
      <c r="T12" s="541">
        <f>VLOOKUP(S12,DW4:DZ8,4,FALSE)</f>
        <v>4186.8</v>
      </c>
      <c r="U12" s="532"/>
      <c r="V12" s="525"/>
      <c r="Y12" s="542">
        <v>9</v>
      </c>
      <c r="Z12" s="540" t="s">
        <v>798</v>
      </c>
      <c r="AA12" s="543">
        <v>304800</v>
      </c>
      <c r="AB12" s="540">
        <f t="shared" si="0"/>
        <v>1737360</v>
      </c>
      <c r="AE12" s="542">
        <v>9</v>
      </c>
      <c r="AF12" s="540" t="s">
        <v>799</v>
      </c>
      <c r="AG12" s="540">
        <v>28.31685</v>
      </c>
      <c r="AH12" s="540">
        <f t="shared" si="1"/>
        <v>158.98732002452448</v>
      </c>
      <c r="AI12" s="542"/>
      <c r="AK12" s="542"/>
      <c r="AL12" s="540"/>
      <c r="AM12" s="540"/>
      <c r="AO12" s="542"/>
      <c r="AQ12" s="542">
        <v>9</v>
      </c>
      <c r="AR12" s="540" t="s">
        <v>874</v>
      </c>
      <c r="AS12" s="540">
        <v>1.699011</v>
      </c>
      <c r="AT12" s="540">
        <f t="shared" si="3"/>
        <v>8.166663462189291</v>
      </c>
      <c r="AU12" s="542"/>
      <c r="AW12" s="542">
        <v>9</v>
      </c>
      <c r="AX12" s="540" t="s">
        <v>800</v>
      </c>
      <c r="AY12" s="543">
        <v>68.94757</v>
      </c>
      <c r="AZ12" s="540">
        <f t="shared" si="4"/>
        <v>1013.529279</v>
      </c>
      <c r="BA12" s="542"/>
      <c r="BC12" s="542">
        <v>9</v>
      </c>
      <c r="BD12" s="540" t="s">
        <v>801</v>
      </c>
      <c r="BE12" s="543">
        <v>745.6999</v>
      </c>
      <c r="BF12" s="540">
        <f t="shared" si="5"/>
        <v>1342259.8199999998</v>
      </c>
      <c r="BG12" s="542"/>
      <c r="BI12" s="542">
        <v>9</v>
      </c>
      <c r="BJ12" s="540" t="s">
        <v>875</v>
      </c>
      <c r="BK12" s="543">
        <v>5.4039</v>
      </c>
      <c r="BL12" s="540">
        <f t="shared" si="6"/>
        <v>73763.235</v>
      </c>
      <c r="BM12" s="542"/>
      <c r="BO12" s="542">
        <v>9</v>
      </c>
      <c r="BP12" s="540" t="s">
        <v>802</v>
      </c>
      <c r="BQ12" s="543">
        <v>15432</v>
      </c>
      <c r="BR12" s="540">
        <f t="shared" si="7"/>
        <v>694440</v>
      </c>
      <c r="BS12" s="542"/>
      <c r="BU12" s="542">
        <v>9</v>
      </c>
      <c r="BV12" s="540" t="s">
        <v>803</v>
      </c>
      <c r="BW12" s="543">
        <v>9.290304E-06</v>
      </c>
      <c r="BX12" s="540">
        <f t="shared" si="8"/>
        <v>0.6</v>
      </c>
      <c r="BY12" s="542"/>
      <c r="CA12" s="542">
        <v>9</v>
      </c>
      <c r="CB12" s="540" t="s">
        <v>804</v>
      </c>
      <c r="CC12" s="543">
        <v>5.614584</v>
      </c>
      <c r="CD12" s="540">
        <f t="shared" si="9"/>
        <v>350.3500416</v>
      </c>
      <c r="CE12" s="542"/>
      <c r="CF12" s="533"/>
      <c r="CG12" s="542">
        <v>9</v>
      </c>
      <c r="CH12" s="540" t="s">
        <v>805</v>
      </c>
      <c r="CI12" s="540">
        <v>3.6</v>
      </c>
      <c r="CJ12" s="540">
        <f t="shared" si="10"/>
        <v>3.6</v>
      </c>
      <c r="CK12" s="542"/>
      <c r="CM12" s="542"/>
      <c r="CN12" s="540"/>
      <c r="CO12" s="540"/>
      <c r="CQ12" s="542"/>
      <c r="CS12" s="542">
        <v>9</v>
      </c>
      <c r="CT12" s="540" t="s">
        <v>806</v>
      </c>
      <c r="CU12" s="540">
        <f>24*0.0004464286</f>
        <v>0.0107142864</v>
      </c>
      <c r="CV12" s="540">
        <f t="shared" si="12"/>
        <v>0.0107142864</v>
      </c>
      <c r="CW12" s="542"/>
      <c r="CY12" s="542"/>
      <c r="CZ12" s="540"/>
      <c r="DA12" s="540"/>
      <c r="DC12" s="542"/>
      <c r="DE12" s="542"/>
      <c r="DF12" s="540"/>
      <c r="DG12" s="540"/>
      <c r="DI12" s="542"/>
      <c r="DK12" s="542"/>
      <c r="DL12" s="540"/>
      <c r="DM12" s="540"/>
      <c r="DO12" s="542"/>
      <c r="DQ12" s="542"/>
      <c r="DR12" s="540"/>
      <c r="DS12" s="540"/>
      <c r="DU12" s="542"/>
      <c r="DW12" s="542"/>
      <c r="DX12" s="540"/>
      <c r="DY12" s="540"/>
      <c r="EA12" s="542"/>
    </row>
    <row r="13" spans="5:129" ht="15" customHeight="1">
      <c r="E13" s="545"/>
      <c r="F13" s="523"/>
      <c r="J13" s="545"/>
      <c r="K13" s="523"/>
      <c r="O13" s="545"/>
      <c r="P13" s="523"/>
      <c r="T13" s="545"/>
      <c r="U13" s="546"/>
      <c r="AE13" s="542">
        <v>10</v>
      </c>
      <c r="AF13" s="540" t="s">
        <v>876</v>
      </c>
      <c r="AG13" s="540">
        <v>28316.85</v>
      </c>
      <c r="AH13" s="540">
        <f t="shared" si="1"/>
        <v>158987.3200245245</v>
      </c>
      <c r="AK13" s="542"/>
      <c r="AL13" s="540"/>
      <c r="AM13" s="540"/>
      <c r="AQ13" s="542">
        <v>10</v>
      </c>
      <c r="AR13" s="540" t="s">
        <v>877</v>
      </c>
      <c r="AS13" s="540">
        <v>101.9407</v>
      </c>
      <c r="AT13" s="540">
        <f t="shared" si="3"/>
        <v>489.99999999999994</v>
      </c>
      <c r="AW13" s="542">
        <v>10</v>
      </c>
      <c r="AX13" s="540" t="s">
        <v>878</v>
      </c>
      <c r="AY13" s="543">
        <v>0.07030696</v>
      </c>
      <c r="AZ13" s="540">
        <f t="shared" si="4"/>
        <v>1.033512312</v>
      </c>
      <c r="BC13" s="542">
        <v>10</v>
      </c>
      <c r="BD13" s="540" t="s">
        <v>807</v>
      </c>
      <c r="BE13" s="543">
        <v>745.7</v>
      </c>
      <c r="BF13" s="540">
        <f t="shared" si="5"/>
        <v>1342260</v>
      </c>
      <c r="BI13" s="542">
        <v>10</v>
      </c>
      <c r="BJ13" s="540" t="s">
        <v>808</v>
      </c>
      <c r="BK13" s="543">
        <v>10.412</v>
      </c>
      <c r="BL13" s="540">
        <f t="shared" si="6"/>
        <v>142123.80000000002</v>
      </c>
      <c r="BO13" s="542">
        <v>10</v>
      </c>
      <c r="BP13" s="540" t="s">
        <v>809</v>
      </c>
      <c r="BQ13" s="543">
        <v>5000</v>
      </c>
      <c r="BR13" s="540">
        <f t="shared" si="7"/>
        <v>225000</v>
      </c>
      <c r="BU13" s="542">
        <v>10</v>
      </c>
      <c r="BV13" s="540" t="s">
        <v>810</v>
      </c>
      <c r="BW13" s="543">
        <v>0.0009290304</v>
      </c>
      <c r="BX13" s="540">
        <f t="shared" si="8"/>
        <v>59.99999999999999</v>
      </c>
      <c r="CA13" s="542">
        <v>10</v>
      </c>
      <c r="CB13" s="540" t="s">
        <v>879</v>
      </c>
      <c r="CC13" s="543">
        <v>0.009259259</v>
      </c>
      <c r="CD13" s="540">
        <f t="shared" si="9"/>
        <v>0.5777777616</v>
      </c>
      <c r="CF13" s="533"/>
      <c r="CS13" s="542">
        <v>10</v>
      </c>
      <c r="CT13" s="540" t="s">
        <v>811</v>
      </c>
      <c r="CU13" s="540">
        <f>24*0.0005</f>
        <v>0.012</v>
      </c>
      <c r="CV13" s="540">
        <f t="shared" si="12"/>
        <v>0.012</v>
      </c>
      <c r="CY13" s="542"/>
      <c r="CZ13" s="540"/>
      <c r="DA13" s="540"/>
      <c r="DE13" s="542"/>
      <c r="DF13" s="540"/>
      <c r="DG13" s="540"/>
      <c r="DK13" s="542"/>
      <c r="DL13" s="540"/>
      <c r="DM13" s="540"/>
      <c r="DQ13" s="542"/>
      <c r="DR13" s="540"/>
      <c r="DS13" s="540"/>
      <c r="DW13" s="542"/>
      <c r="DX13" s="540"/>
      <c r="DY13" s="540"/>
    </row>
    <row r="14" spans="1:129" ht="15" customHeight="1" thickBot="1">
      <c r="A14" s="547"/>
      <c r="B14" s="527" t="s">
        <v>812</v>
      </c>
      <c r="C14" s="528"/>
      <c r="D14" s="528"/>
      <c r="E14" s="548"/>
      <c r="F14" s="531"/>
      <c r="G14" s="527" t="s">
        <v>813</v>
      </c>
      <c r="H14" s="528"/>
      <c r="I14" s="528"/>
      <c r="J14" s="548"/>
      <c r="K14" s="531"/>
      <c r="L14" s="527" t="s">
        <v>814</v>
      </c>
      <c r="M14" s="528"/>
      <c r="N14" s="528"/>
      <c r="O14" s="548"/>
      <c r="P14" s="551"/>
      <c r="Q14" s="552"/>
      <c r="R14" s="552"/>
      <c r="S14" s="552"/>
      <c r="T14" s="553"/>
      <c r="U14" s="532"/>
      <c r="V14" s="525"/>
      <c r="AE14" s="542">
        <v>11</v>
      </c>
      <c r="AF14" s="540" t="s">
        <v>815</v>
      </c>
      <c r="AG14" s="543">
        <v>28316.85</v>
      </c>
      <c r="AH14" s="540">
        <f t="shared" si="1"/>
        <v>158987.3200245245</v>
      </c>
      <c r="AK14" s="542"/>
      <c r="AL14" s="540"/>
      <c r="AM14" s="543"/>
      <c r="AQ14" s="542">
        <v>11</v>
      </c>
      <c r="AR14" s="540" t="s">
        <v>816</v>
      </c>
      <c r="AS14" s="543">
        <v>28.31685</v>
      </c>
      <c r="AT14" s="540">
        <f t="shared" si="3"/>
        <v>136.11105770315484</v>
      </c>
      <c r="AW14" s="542">
        <v>11</v>
      </c>
      <c r="AX14" s="540" t="s">
        <v>817</v>
      </c>
      <c r="AY14" s="543">
        <v>6.894757</v>
      </c>
      <c r="AZ14" s="540">
        <f t="shared" si="4"/>
        <v>101.3529279</v>
      </c>
      <c r="BC14" s="542">
        <v>11</v>
      </c>
      <c r="BD14" s="540" t="s">
        <v>880</v>
      </c>
      <c r="BE14" s="543">
        <v>550</v>
      </c>
      <c r="BF14" s="540">
        <f t="shared" si="5"/>
        <v>990000</v>
      </c>
      <c r="BI14" s="542"/>
      <c r="BJ14" s="540"/>
      <c r="BK14" s="543"/>
      <c r="BO14" s="542">
        <v>11</v>
      </c>
      <c r="BP14" s="540" t="s">
        <v>818</v>
      </c>
      <c r="BQ14" s="543">
        <v>0.0685218</v>
      </c>
      <c r="BR14" s="540">
        <f t="shared" si="7"/>
        <v>3.083481</v>
      </c>
      <c r="BU14" s="542">
        <v>11</v>
      </c>
      <c r="BV14" s="540" t="s">
        <v>819</v>
      </c>
      <c r="BW14" s="543">
        <v>2.295684E-05</v>
      </c>
      <c r="BX14" s="540">
        <f t="shared" si="8"/>
        <v>1.4826322152644305</v>
      </c>
      <c r="CA14" s="542">
        <v>11</v>
      </c>
      <c r="CB14" s="540" t="s">
        <v>820</v>
      </c>
      <c r="CC14" s="543">
        <v>2.138889</v>
      </c>
      <c r="CD14" s="540">
        <f t="shared" si="9"/>
        <v>133.46667359999998</v>
      </c>
      <c r="CF14" s="533"/>
      <c r="CG14" s="542"/>
      <c r="CH14" s="540"/>
      <c r="CI14" s="543"/>
      <c r="CM14" s="542"/>
      <c r="CN14" s="540"/>
      <c r="CO14" s="543"/>
      <c r="CS14" s="542">
        <v>11</v>
      </c>
      <c r="CT14" s="540" t="s">
        <v>821</v>
      </c>
      <c r="CU14" s="543">
        <f>24*0.0004535924</f>
        <v>0.0108862176</v>
      </c>
      <c r="CV14" s="540">
        <f t="shared" si="12"/>
        <v>0.0108862176</v>
      </c>
      <c r="CY14" s="542"/>
      <c r="CZ14" s="540"/>
      <c r="DA14" s="543"/>
      <c r="DE14" s="542"/>
      <c r="DF14" s="540"/>
      <c r="DG14" s="543"/>
      <c r="DK14" s="542"/>
      <c r="DL14" s="540"/>
      <c r="DM14" s="543"/>
      <c r="DQ14" s="542"/>
      <c r="DR14" s="540"/>
      <c r="DS14" s="543"/>
      <c r="DW14" s="542"/>
      <c r="DX14" s="540"/>
      <c r="DY14" s="543"/>
    </row>
    <row r="15" spans="1:129" ht="15" customHeight="1" thickBot="1">
      <c r="A15" s="549"/>
      <c r="B15" s="535"/>
      <c r="C15" s="535"/>
      <c r="D15" s="536">
        <v>10</v>
      </c>
      <c r="E15" s="550">
        <v>490</v>
      </c>
      <c r="F15" s="538"/>
      <c r="G15" s="535"/>
      <c r="H15" s="535"/>
      <c r="I15" s="536">
        <v>7</v>
      </c>
      <c r="J15" s="550">
        <v>62.4</v>
      </c>
      <c r="K15" s="538"/>
      <c r="L15" s="535"/>
      <c r="M15" s="535"/>
      <c r="N15" s="536">
        <v>1</v>
      </c>
      <c r="O15" s="550">
        <v>1</v>
      </c>
      <c r="P15" s="538"/>
      <c r="Q15" s="535"/>
      <c r="R15" s="535"/>
      <c r="S15" s="535"/>
      <c r="T15" s="554"/>
      <c r="U15" s="532"/>
      <c r="V15" s="525"/>
      <c r="AE15" s="542"/>
      <c r="AF15" s="540"/>
      <c r="AG15" s="543"/>
      <c r="AK15" s="542"/>
      <c r="AL15" s="540"/>
      <c r="AM15" s="543"/>
      <c r="AQ15" s="542">
        <v>12</v>
      </c>
      <c r="AR15" s="540" t="s">
        <v>822</v>
      </c>
      <c r="AS15" s="543">
        <v>1699.011</v>
      </c>
      <c r="AT15" s="540">
        <f t="shared" si="3"/>
        <v>8166.663462189291</v>
      </c>
      <c r="AW15" s="542">
        <v>12</v>
      </c>
      <c r="AX15" s="540" t="s">
        <v>823</v>
      </c>
      <c r="AY15" s="543">
        <v>6894.757</v>
      </c>
      <c r="AZ15" s="540">
        <f t="shared" si="4"/>
        <v>101352.9279</v>
      </c>
      <c r="BC15" s="542">
        <v>12</v>
      </c>
      <c r="BD15" s="540" t="s">
        <v>881</v>
      </c>
      <c r="BE15" s="543">
        <v>33000</v>
      </c>
      <c r="BF15" s="540">
        <f t="shared" si="5"/>
        <v>59400000</v>
      </c>
      <c r="BI15" s="542"/>
      <c r="BJ15" s="540"/>
      <c r="BK15" s="543"/>
      <c r="BO15" s="542"/>
      <c r="BP15" s="540"/>
      <c r="BQ15" s="543"/>
      <c r="BU15" s="542"/>
      <c r="BV15" s="540"/>
      <c r="BW15" s="543"/>
      <c r="CA15" s="542">
        <v>12</v>
      </c>
      <c r="CB15" s="540" t="s">
        <v>824</v>
      </c>
      <c r="CC15" s="543">
        <v>0.01601846</v>
      </c>
      <c r="CD15" s="540">
        <f t="shared" si="9"/>
        <v>0.999551904</v>
      </c>
      <c r="CF15" s="533"/>
      <c r="CG15" s="542"/>
      <c r="CH15" s="540"/>
      <c r="CI15" s="540"/>
      <c r="CM15" s="542"/>
      <c r="CN15" s="540"/>
      <c r="CO15" s="540"/>
      <c r="CS15" s="542"/>
      <c r="CT15" s="540"/>
      <c r="CU15" s="540"/>
      <c r="CY15" s="542"/>
      <c r="CZ15" s="540"/>
      <c r="DA15" s="540"/>
      <c r="DE15" s="542"/>
      <c r="DF15" s="540"/>
      <c r="DG15" s="540"/>
      <c r="DK15" s="542"/>
      <c r="DL15" s="540"/>
      <c r="DM15" s="540"/>
      <c r="DQ15" s="542"/>
      <c r="DR15" s="540"/>
      <c r="DS15" s="540"/>
      <c r="DW15" s="542"/>
      <c r="DX15" s="540"/>
      <c r="DY15" s="540"/>
    </row>
    <row r="16" spans="1:129" ht="15" customHeight="1">
      <c r="A16" s="549"/>
      <c r="B16" s="535"/>
      <c r="C16" s="535"/>
      <c r="D16" s="536">
        <v>2</v>
      </c>
      <c r="E16" s="541">
        <f>VLOOKUP(D16,AQ4:AT17,4,FALSE)</f>
        <v>288.4029636837887</v>
      </c>
      <c r="F16" s="538"/>
      <c r="G16" s="535"/>
      <c r="H16" s="535"/>
      <c r="I16" s="536">
        <v>12</v>
      </c>
      <c r="J16" s="541">
        <f>VLOOKUP(I16,CA4:CD15,4,FALSE)</f>
        <v>0.999551904</v>
      </c>
      <c r="K16" s="538"/>
      <c r="L16" s="535"/>
      <c r="M16" s="535"/>
      <c r="N16" s="536">
        <v>3</v>
      </c>
      <c r="O16" s="541">
        <f>VLOOKUP(N16,CY4:DB8,4,FALSE)</f>
        <v>0.0005678264</v>
      </c>
      <c r="P16" s="538"/>
      <c r="Q16" s="535"/>
      <c r="R16" s="535"/>
      <c r="S16" s="535"/>
      <c r="T16" s="555"/>
      <c r="U16" s="532"/>
      <c r="V16" s="525"/>
      <c r="Y16" s="524"/>
      <c r="AB16" s="524"/>
      <c r="AC16" s="524"/>
      <c r="AE16" s="542"/>
      <c r="AF16" s="540"/>
      <c r="AG16" s="543"/>
      <c r="AK16" s="542"/>
      <c r="AL16" s="540"/>
      <c r="AM16" s="543"/>
      <c r="AQ16" s="542">
        <v>13</v>
      </c>
      <c r="AR16" s="540" t="s">
        <v>825</v>
      </c>
      <c r="AS16" s="543">
        <v>101940.7</v>
      </c>
      <c r="AT16" s="540">
        <f t="shared" si="3"/>
        <v>489999.99999999994</v>
      </c>
      <c r="AW16" s="524"/>
      <c r="AZ16" s="524"/>
      <c r="BC16" s="524"/>
      <c r="BF16" s="524"/>
      <c r="BI16" s="524"/>
      <c r="BL16" s="524"/>
      <c r="BO16" s="524"/>
      <c r="BR16" s="524"/>
      <c r="BU16" s="524"/>
      <c r="BX16" s="524"/>
      <c r="CA16" s="524"/>
      <c r="CB16" s="540"/>
      <c r="CD16" s="524"/>
      <c r="CF16" s="533"/>
      <c r="CG16" s="542"/>
      <c r="CH16" s="540"/>
      <c r="CI16" s="540"/>
      <c r="CM16" s="542"/>
      <c r="CN16" s="540"/>
      <c r="CO16" s="540"/>
      <c r="CS16" s="542"/>
      <c r="CT16" s="540"/>
      <c r="CU16" s="540"/>
      <c r="CY16" s="542"/>
      <c r="CZ16" s="540"/>
      <c r="DA16" s="540"/>
      <c r="DE16" s="542"/>
      <c r="DF16" s="540"/>
      <c r="DG16" s="540"/>
      <c r="DK16" s="542"/>
      <c r="DL16" s="540"/>
      <c r="DM16" s="540"/>
      <c r="DQ16" s="542"/>
      <c r="DR16" s="540"/>
      <c r="DS16" s="540"/>
      <c r="DW16" s="542"/>
      <c r="DX16" s="540"/>
      <c r="DY16" s="540"/>
    </row>
    <row r="17" spans="5:129" ht="15" customHeight="1">
      <c r="E17" s="545"/>
      <c r="F17" s="523"/>
      <c r="J17" s="545"/>
      <c r="K17" s="523"/>
      <c r="O17" s="545"/>
      <c r="P17" s="523"/>
      <c r="T17" s="556"/>
      <c r="U17" s="546"/>
      <c r="Y17" s="524"/>
      <c r="AB17" s="524"/>
      <c r="AC17" s="524"/>
      <c r="AE17" s="542"/>
      <c r="AF17" s="540"/>
      <c r="AG17" s="540"/>
      <c r="AK17" s="542"/>
      <c r="AL17" s="540"/>
      <c r="AM17" s="540"/>
      <c r="AQ17" s="542">
        <v>14</v>
      </c>
      <c r="AR17" s="540" t="s">
        <v>826</v>
      </c>
      <c r="AS17" s="540">
        <v>2446576.8</v>
      </c>
      <c r="AT17" s="540">
        <f t="shared" si="3"/>
        <v>11759999.999999998</v>
      </c>
      <c r="AW17" s="542"/>
      <c r="BC17" s="542"/>
      <c r="BI17" s="542"/>
      <c r="BO17" s="542"/>
      <c r="BU17" s="542"/>
      <c r="CA17" s="542"/>
      <c r="CB17" s="540"/>
      <c r="CF17" s="533"/>
      <c r="CG17" s="542"/>
      <c r="CH17" s="540"/>
      <c r="CI17" s="540"/>
      <c r="CM17" s="542"/>
      <c r="CN17" s="540"/>
      <c r="CO17" s="540"/>
      <c r="CS17" s="542"/>
      <c r="CT17" s="540"/>
      <c r="CU17" s="540"/>
      <c r="CY17" s="542"/>
      <c r="CZ17" s="540"/>
      <c r="DA17" s="540"/>
      <c r="DE17" s="542"/>
      <c r="DF17" s="540"/>
      <c r="DG17" s="540"/>
      <c r="DK17" s="542"/>
      <c r="DL17" s="540"/>
      <c r="DM17" s="540"/>
      <c r="DQ17" s="542"/>
      <c r="DR17" s="540"/>
      <c r="DS17" s="540"/>
      <c r="DW17" s="542"/>
      <c r="DX17" s="540"/>
      <c r="DY17" s="540"/>
    </row>
    <row r="18" spans="1:129" ht="15" customHeight="1" thickBot="1">
      <c r="A18" s="547"/>
      <c r="B18" s="527" t="s">
        <v>692</v>
      </c>
      <c r="C18" s="528"/>
      <c r="D18" s="528"/>
      <c r="E18" s="548"/>
      <c r="F18" s="531"/>
      <c r="G18" s="527" t="s">
        <v>827</v>
      </c>
      <c r="H18" s="528"/>
      <c r="I18" s="528"/>
      <c r="J18" s="548"/>
      <c r="K18" s="531"/>
      <c r="L18" s="527" t="s">
        <v>828</v>
      </c>
      <c r="M18" s="528"/>
      <c r="N18" s="528"/>
      <c r="O18" s="548"/>
      <c r="P18" s="551"/>
      <c r="R18" s="552"/>
      <c r="S18" s="552"/>
      <c r="T18" s="553"/>
      <c r="U18" s="532"/>
      <c r="V18" s="525"/>
      <c r="Y18" s="524"/>
      <c r="AB18" s="524"/>
      <c r="AC18" s="524"/>
      <c r="AE18" s="542"/>
      <c r="AF18" s="540"/>
      <c r="AG18" s="543"/>
      <c r="AK18" s="542"/>
      <c r="AL18" s="540"/>
      <c r="AM18" s="543"/>
      <c r="AQ18" s="542"/>
      <c r="AR18" s="540"/>
      <c r="AS18" s="543"/>
      <c r="AW18" s="542"/>
      <c r="AX18" s="540"/>
      <c r="AY18" s="543"/>
      <c r="BC18" s="542"/>
      <c r="BD18" s="540"/>
      <c r="BE18" s="543"/>
      <c r="BI18" s="542"/>
      <c r="BJ18" s="540"/>
      <c r="BK18" s="543"/>
      <c r="BO18" s="542"/>
      <c r="BP18" s="540"/>
      <c r="BQ18" s="543"/>
      <c r="BU18" s="542"/>
      <c r="BV18" s="540"/>
      <c r="BW18" s="543"/>
      <c r="CA18" s="542"/>
      <c r="CB18" s="540"/>
      <c r="CC18" s="543"/>
      <c r="CG18" s="542"/>
      <c r="CH18" s="540"/>
      <c r="CI18" s="543"/>
      <c r="CM18" s="542"/>
      <c r="CN18" s="540"/>
      <c r="CO18" s="543"/>
      <c r="CS18" s="542"/>
      <c r="CT18" s="540"/>
      <c r="CU18" s="543"/>
      <c r="CY18" s="542"/>
      <c r="CZ18" s="540"/>
      <c r="DA18" s="543"/>
      <c r="DE18" s="542"/>
      <c r="DF18" s="540"/>
      <c r="DG18" s="543"/>
      <c r="DK18" s="542"/>
      <c r="DL18" s="540"/>
      <c r="DM18" s="543"/>
      <c r="DQ18" s="542"/>
      <c r="DR18" s="540"/>
      <c r="DS18" s="543"/>
      <c r="DW18" s="542"/>
      <c r="DX18" s="540"/>
      <c r="DY18" s="543"/>
    </row>
    <row r="19" spans="1:129" ht="15" customHeight="1" thickBot="1">
      <c r="A19" s="549"/>
      <c r="B19" s="535"/>
      <c r="C19" s="535"/>
      <c r="D19" s="536">
        <v>1</v>
      </c>
      <c r="E19" s="550">
        <v>14.7</v>
      </c>
      <c r="F19" s="538"/>
      <c r="G19" s="535"/>
      <c r="H19" s="535"/>
      <c r="I19" s="536">
        <v>7</v>
      </c>
      <c r="J19" s="550">
        <v>6000</v>
      </c>
      <c r="K19" s="538"/>
      <c r="L19" s="535"/>
      <c r="M19" s="535"/>
      <c r="N19" s="536">
        <v>1</v>
      </c>
      <c r="O19" s="550">
        <v>1</v>
      </c>
      <c r="P19" s="538"/>
      <c r="Q19" s="650" t="s">
        <v>829</v>
      </c>
      <c r="R19" s="651"/>
      <c r="S19" s="651"/>
      <c r="T19" s="651"/>
      <c r="U19" s="532"/>
      <c r="V19" s="525"/>
      <c r="Y19" s="524"/>
      <c r="AB19" s="524"/>
      <c r="AC19" s="524"/>
      <c r="AE19" s="524"/>
      <c r="AI19" s="524"/>
      <c r="AK19" s="524"/>
      <c r="AN19" s="524"/>
      <c r="AO19" s="524"/>
      <c r="AQ19" s="524"/>
      <c r="AT19" s="524"/>
      <c r="AU19" s="524"/>
      <c r="AW19" s="524"/>
      <c r="AZ19" s="524"/>
      <c r="BA19" s="524"/>
      <c r="BC19" s="524"/>
      <c r="BF19" s="524"/>
      <c r="BG19" s="524"/>
      <c r="BI19" s="524"/>
      <c r="BL19" s="524"/>
      <c r="BM19" s="524"/>
      <c r="BO19" s="542"/>
      <c r="BP19" s="540"/>
      <c r="BQ19" s="543"/>
      <c r="BU19" s="542"/>
      <c r="BV19" s="540"/>
      <c r="BW19" s="543"/>
      <c r="CA19" s="542"/>
      <c r="CB19" s="540"/>
      <c r="CC19" s="543"/>
      <c r="CG19" s="542"/>
      <c r="CH19" s="540"/>
      <c r="CI19" s="543"/>
      <c r="CM19" s="542"/>
      <c r="CN19" s="540"/>
      <c r="CO19" s="543"/>
      <c r="CS19" s="542"/>
      <c r="CT19" s="540"/>
      <c r="CU19" s="543"/>
      <c r="CY19" s="542"/>
      <c r="CZ19" s="540"/>
      <c r="DA19" s="543"/>
      <c r="DE19" s="542"/>
      <c r="DF19" s="540"/>
      <c r="DG19" s="543"/>
      <c r="DK19" s="542"/>
      <c r="DL19" s="540"/>
      <c r="DM19" s="543"/>
      <c r="DQ19" s="542"/>
      <c r="DR19" s="540"/>
      <c r="DS19" s="543"/>
      <c r="DW19" s="542"/>
      <c r="DX19" s="540"/>
      <c r="DY19" s="543"/>
    </row>
    <row r="20" spans="1:129" ht="15" customHeight="1">
      <c r="A20" s="549"/>
      <c r="B20" s="535"/>
      <c r="C20" s="535"/>
      <c r="D20" s="536">
        <v>10</v>
      </c>
      <c r="E20" s="541">
        <f>VLOOKUP(D20,AW4:AZ15,4,FALSE)</f>
        <v>1.033512312</v>
      </c>
      <c r="F20" s="538"/>
      <c r="G20" s="535"/>
      <c r="H20" s="535"/>
      <c r="I20" s="536">
        <v>1</v>
      </c>
      <c r="J20" s="541">
        <f>VLOOKUP(I20,BU4:BX14,4,FALSE)</f>
        <v>64583.46250025833</v>
      </c>
      <c r="K20" s="538"/>
      <c r="L20" s="535"/>
      <c r="M20" s="535"/>
      <c r="N20" s="536">
        <v>3</v>
      </c>
      <c r="O20" s="541">
        <f>VLOOKUP(N20,DE4:DH8,4,FALSE)</f>
        <v>0.01730735</v>
      </c>
      <c r="P20" s="538"/>
      <c r="Q20" s="557" t="s">
        <v>830</v>
      </c>
      <c r="T20" s="555"/>
      <c r="U20" s="532"/>
      <c r="V20" s="525"/>
      <c r="Y20" s="524"/>
      <c r="AB20" s="524"/>
      <c r="AC20" s="524"/>
      <c r="AE20" s="524"/>
      <c r="AI20" s="524"/>
      <c r="AK20" s="524"/>
      <c r="AN20" s="524"/>
      <c r="AO20" s="524"/>
      <c r="AQ20" s="524"/>
      <c r="AT20" s="524"/>
      <c r="AU20" s="524"/>
      <c r="AW20" s="524"/>
      <c r="AZ20" s="524"/>
      <c r="BA20" s="524"/>
      <c r="BC20" s="524"/>
      <c r="BF20" s="524"/>
      <c r="BG20" s="524"/>
      <c r="BI20" s="524"/>
      <c r="BL20" s="524"/>
      <c r="BM20" s="524"/>
      <c r="BO20" s="542"/>
      <c r="BP20" s="540"/>
      <c r="BQ20" s="543"/>
      <c r="BU20" s="542"/>
      <c r="BV20" s="540"/>
      <c r="BW20" s="543"/>
      <c r="CA20" s="542"/>
      <c r="CB20" s="540"/>
      <c r="CC20" s="543"/>
      <c r="CG20" s="542"/>
      <c r="CH20" s="540"/>
      <c r="CI20" s="543"/>
      <c r="CM20" s="542"/>
      <c r="CN20" s="540"/>
      <c r="CO20" s="543"/>
      <c r="CS20" s="542"/>
      <c r="CT20" s="540"/>
      <c r="CU20" s="543"/>
      <c r="CY20" s="542"/>
      <c r="CZ20" s="540"/>
      <c r="DA20" s="543"/>
      <c r="DE20" s="542"/>
      <c r="DF20" s="540"/>
      <c r="DG20" s="543"/>
      <c r="DK20" s="542"/>
      <c r="DL20" s="540"/>
      <c r="DM20" s="543"/>
      <c r="DQ20" s="542"/>
      <c r="DR20" s="540"/>
      <c r="DS20" s="543"/>
      <c r="DW20" s="542"/>
      <c r="DX20" s="540"/>
      <c r="DY20" s="543"/>
    </row>
    <row r="21" spans="6:129" ht="15" customHeight="1">
      <c r="F21" s="523"/>
      <c r="K21" s="523"/>
      <c r="P21" s="523"/>
      <c r="Q21" s="558" t="s">
        <v>831</v>
      </c>
      <c r="U21" s="546"/>
      <c r="Y21" s="524"/>
      <c r="AB21" s="524"/>
      <c r="AC21" s="524"/>
      <c r="AE21" s="542"/>
      <c r="AF21" s="540"/>
      <c r="AG21" s="543"/>
      <c r="AK21" s="542"/>
      <c r="AL21" s="540"/>
      <c r="AM21" s="543"/>
      <c r="AQ21" s="542"/>
      <c r="AR21" s="540"/>
      <c r="AS21" s="543"/>
      <c r="AW21" s="542"/>
      <c r="AX21" s="540"/>
      <c r="AY21" s="543"/>
      <c r="BC21" s="542"/>
      <c r="BD21" s="540"/>
      <c r="BE21" s="543"/>
      <c r="BI21" s="542"/>
      <c r="BJ21" s="540"/>
      <c r="BK21" s="543"/>
      <c r="BO21" s="542"/>
      <c r="BP21" s="540"/>
      <c r="BQ21" s="543"/>
      <c r="BU21" s="542"/>
      <c r="BV21" s="540"/>
      <c r="BW21" s="543"/>
      <c r="CA21" s="542"/>
      <c r="CB21" s="540"/>
      <c r="CC21" s="543"/>
      <c r="CG21" s="542"/>
      <c r="CH21" s="540"/>
      <c r="CI21" s="543"/>
      <c r="CM21" s="542"/>
      <c r="CN21" s="540"/>
      <c r="CO21" s="543"/>
      <c r="CS21" s="542"/>
      <c r="CT21" s="540"/>
      <c r="CU21" s="543"/>
      <c r="CY21" s="542"/>
      <c r="CZ21" s="540"/>
      <c r="DA21" s="543"/>
      <c r="DE21" s="542"/>
      <c r="DF21" s="540"/>
      <c r="DG21" s="543"/>
      <c r="DK21" s="542"/>
      <c r="DL21" s="540"/>
      <c r="DM21" s="543"/>
      <c r="DQ21" s="542"/>
      <c r="DR21" s="540"/>
      <c r="DS21" s="543"/>
      <c r="DW21" s="542"/>
      <c r="DX21" s="540"/>
      <c r="DY21" s="543"/>
    </row>
    <row r="22" ht="15" customHeight="1">
      <c r="Q22" s="558" t="s">
        <v>832</v>
      </c>
    </row>
    <row r="23" ht="15" customHeight="1">
      <c r="B23" s="559" t="s">
        <v>833</v>
      </c>
    </row>
  </sheetData>
  <sheetProtection sheet="1" objects="1" scenarios="1" selectLockedCells="1"/>
  <mergeCells count="1">
    <mergeCell ref="Q19:T19"/>
  </mergeCells>
  <hyperlinks>
    <hyperlink ref="Q19:T19" r:id="rId1" display="PROCESS ENGINEERING TOOLKIT"/>
  </hyperlinks>
  <printOptions/>
  <pageMargins left="0.17" right="0.25" top="1.34" bottom="1" header="0.5" footer="0.5"/>
  <pageSetup horizontalDpi="600" verticalDpi="600" orientation="landscape" scale="11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O30"/>
  <sheetViews>
    <sheetView showGridLines="0" showRowColHeaders="0" zoomScale="74" zoomScaleNormal="74" zoomScalePageLayoutView="0" workbookViewId="0" topLeftCell="A1">
      <selection activeCell="P27" sqref="P27"/>
    </sheetView>
  </sheetViews>
  <sheetFormatPr defaultColWidth="9.777343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4" max="14" width="9.77734375" style="0" customWidth="1"/>
    <col min="15" max="15" width="8.777343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661" t="str">
        <f>IF(D6&gt;1.5,"","Closest Inch Drill Bits")</f>
        <v>Closest Inch Drill Bits</v>
      </c>
      <c r="C11" s="668"/>
      <c r="D11" s="668"/>
      <c r="E11" s="663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664"/>
      <c r="C12" s="668"/>
      <c r="D12" s="668"/>
      <c r="E12" s="663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661" t="str">
        <f>IF(D6&gt;1.5,"","Closest Millimeter Drill Bits")</f>
        <v>Closest Millimeter Drill Bits</v>
      </c>
      <c r="C13" s="668"/>
      <c r="D13" s="668"/>
      <c r="E13" s="663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664"/>
      <c r="C14" s="662"/>
      <c r="D14" s="662"/>
      <c r="E14" s="663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642</v>
      </c>
      <c r="L22" s="389"/>
      <c r="M22" s="199"/>
      <c r="N22" s="96"/>
      <c r="O22" s="96"/>
    </row>
    <row r="23" spans="1:15" ht="15">
      <c r="A23" s="96"/>
      <c r="B23" s="661" t="str">
        <f>IF(D18&gt;38.5,"","Closest Inch Drill Bits")</f>
        <v>Closest Inch Drill Bits</v>
      </c>
      <c r="C23" s="662"/>
      <c r="D23" s="662"/>
      <c r="E23" s="663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643</v>
      </c>
      <c r="L23" s="389"/>
      <c r="M23" s="199"/>
      <c r="N23" s="96"/>
      <c r="O23" s="96"/>
    </row>
    <row r="24" spans="1:15" ht="15">
      <c r="A24" s="96"/>
      <c r="B24" s="664"/>
      <c r="C24" s="662"/>
      <c r="D24" s="662"/>
      <c r="E24" s="663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644</v>
      </c>
      <c r="L24" s="389"/>
      <c r="M24" s="199"/>
      <c r="N24" s="96"/>
      <c r="O24" s="96"/>
    </row>
    <row r="25" spans="1:15" ht="15">
      <c r="A25" s="96"/>
      <c r="B25" s="661" t="str">
        <f>IF(D18&gt;38.5,"","Closest Millimeter Drill Bits")</f>
        <v>Closest Millimeter Drill Bits</v>
      </c>
      <c r="C25" s="662"/>
      <c r="D25" s="662"/>
      <c r="E25" s="663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665"/>
      <c r="C26" s="666"/>
      <c r="D26" s="666"/>
      <c r="E26" s="667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5" stopIfTrue="1">
      <formula>$D$6&gt;1.5</formula>
    </cfRule>
  </conditionalFormatting>
  <conditionalFormatting sqref="B22:I26">
    <cfRule type="expression" priority="2" dxfId="3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B1:F22"/>
  <sheetViews>
    <sheetView showGridLines="0" showRowColHeaders="0" zoomScalePageLayoutView="0" workbookViewId="0" topLeftCell="A1">
      <selection activeCell="B5" sqref="B5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T72"/>
  <sheetViews>
    <sheetView showGridLines="0" showRowColHeaders="0" zoomScalePageLayoutView="0" workbookViewId="0" topLeftCell="A1">
      <selection activeCell="Y70" sqref="Y70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918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919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920</v>
      </c>
      <c r="L53" s="232"/>
      <c r="M53" s="230" t="s">
        <v>921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922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923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924</v>
      </c>
      <c r="N55" s="236">
        <v>0.75</v>
      </c>
      <c r="O55" s="231"/>
      <c r="P55" s="232"/>
      <c r="Q55" s="230" t="s">
        <v>925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926</v>
      </c>
      <c r="L56" s="232"/>
      <c r="M56" s="230" t="s">
        <v>927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928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929</v>
      </c>
      <c r="J58" s="236">
        <v>0.3438</v>
      </c>
      <c r="K58" s="231"/>
      <c r="L58" s="232"/>
      <c r="M58" s="230" t="s">
        <v>930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931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932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933</v>
      </c>
      <c r="L61" s="232"/>
      <c r="M61" s="230"/>
      <c r="N61" s="236">
        <v>0.8071</v>
      </c>
      <c r="O61" s="231"/>
      <c r="P61" s="232">
        <v>20.5</v>
      </c>
      <c r="Q61" s="230" t="s">
        <v>934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935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936</v>
      </c>
      <c r="R63" s="236">
        <v>1.4375</v>
      </c>
      <c r="S63" s="233"/>
      <c r="T63" s="223"/>
    </row>
    <row r="64" spans="1:20" ht="9" customHeight="1">
      <c r="A64" s="230" t="s">
        <v>937</v>
      </c>
      <c r="B64" s="236">
        <v>0.1094</v>
      </c>
      <c r="C64" s="231"/>
      <c r="D64" s="232"/>
      <c r="E64" s="230" t="s">
        <v>938</v>
      </c>
      <c r="F64" s="236">
        <v>0.2188</v>
      </c>
      <c r="G64" s="231"/>
      <c r="H64" s="232"/>
      <c r="I64" s="230"/>
      <c r="J64" s="236">
        <v>0.358</v>
      </c>
      <c r="K64" s="231" t="s">
        <v>939</v>
      </c>
      <c r="L64" s="232"/>
      <c r="M64" s="230" t="s">
        <v>940</v>
      </c>
      <c r="N64" s="236">
        <v>0.8281</v>
      </c>
      <c r="O64" s="231"/>
      <c r="P64" s="232"/>
      <c r="Q64" s="230" t="s">
        <v>941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942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943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944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945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946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947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948</v>
      </c>
      <c r="L70" s="232"/>
      <c r="M70" s="230"/>
      <c r="N70" s="236">
        <v>0.8858</v>
      </c>
      <c r="O70" s="231"/>
      <c r="P70" s="232">
        <v>22.5</v>
      </c>
      <c r="Q70" s="230" t="s">
        <v>949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950</v>
      </c>
      <c r="N71" s="236">
        <v>0.8906</v>
      </c>
      <c r="O71" s="231"/>
      <c r="P71" s="232"/>
      <c r="Q71" s="230" t="s">
        <v>951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952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T74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953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918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921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920</v>
      </c>
      <c r="P43" s="240"/>
      <c r="Q43" s="230" t="s">
        <v>924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927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922</v>
      </c>
      <c r="J46" s="236">
        <v>0.2031</v>
      </c>
      <c r="K46" s="231"/>
      <c r="L46" s="240"/>
      <c r="M46" s="230"/>
      <c r="N46" s="236">
        <v>0.339</v>
      </c>
      <c r="O46" s="231" t="s">
        <v>926</v>
      </c>
      <c r="P46" s="240"/>
      <c r="Q46" s="230" t="s">
        <v>930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929</v>
      </c>
      <c r="N48" s="236">
        <v>0.3438</v>
      </c>
      <c r="O48" s="231"/>
      <c r="P48" s="240"/>
      <c r="Q48" s="230" t="s">
        <v>932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935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933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940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942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939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945</v>
      </c>
      <c r="R55" s="236">
        <v>0.8594</v>
      </c>
      <c r="S55" s="243"/>
      <c r="T55" s="242"/>
    </row>
    <row r="56" spans="1:20" ht="9" customHeight="1">
      <c r="A56" s="230" t="s">
        <v>954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938</v>
      </c>
      <c r="J56" s="236">
        <v>0.2188</v>
      </c>
      <c r="K56" s="231"/>
      <c r="L56" s="240"/>
      <c r="M56" s="230" t="s">
        <v>943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947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937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950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948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952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40"/>
    <pageSetUpPr fitToPage="1"/>
  </sheetPr>
  <dimension ref="B1:K52"/>
  <sheetViews>
    <sheetView showGridLines="0" showRowColHeaders="0" zoomScale="75" zoomScaleNormal="75" zoomScalePageLayoutView="0" workbookViewId="0" topLeftCell="A1">
      <selection activeCell="C7" sqref="C7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955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1" t="s">
        <v>90</v>
      </c>
    </row>
    <row r="3" spans="2:11" ht="15" customHeight="1">
      <c r="B3" s="107" t="s">
        <v>959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960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656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655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961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962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963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964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965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966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967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653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654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968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969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970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971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671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987</v>
      </c>
      <c r="C45" s="98" t="s">
        <v>668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991</v>
      </c>
      <c r="C46" s="98" t="s">
        <v>669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987</v>
      </c>
      <c r="C47" s="98" t="s">
        <v>668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1001</v>
      </c>
      <c r="C48" s="98" t="s">
        <v>670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indexed="13"/>
    <pageSetUpPr fitToPage="1"/>
  </sheetPr>
  <dimension ref="B1:S53"/>
  <sheetViews>
    <sheetView showGridLines="0" showRowColHeaders="0" zoomScale="75" zoomScaleNormal="75" zoomScalePageLayoutView="0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660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0" t="s">
        <v>90</v>
      </c>
      <c r="L2" s="128" t="s">
        <v>956</v>
      </c>
      <c r="M2" s="129" t="s">
        <v>957</v>
      </c>
      <c r="N2" s="129" t="s">
        <v>958</v>
      </c>
      <c r="O2" s="130" t="s">
        <v>90</v>
      </c>
      <c r="P2" s="128" t="s">
        <v>956</v>
      </c>
      <c r="Q2" s="129" t="s">
        <v>957</v>
      </c>
      <c r="R2" s="129" t="s">
        <v>958</v>
      </c>
      <c r="S2" s="131" t="s">
        <v>90</v>
      </c>
    </row>
    <row r="3" spans="2:19" ht="15" customHeight="1">
      <c r="B3" s="107" t="s">
        <v>664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665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961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962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666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661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657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663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662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658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659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667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653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654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971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671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672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987</v>
      </c>
      <c r="C46" s="456" t="s">
        <v>668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991</v>
      </c>
      <c r="C47" s="456" t="s">
        <v>669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987</v>
      </c>
      <c r="C48" s="98" t="s">
        <v>668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1001</v>
      </c>
      <c r="C49" s="98" t="s">
        <v>670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1" stopIfTrue="1">
      <formula>$C$13&lt;&gt;""</formula>
    </cfRule>
  </conditionalFormatting>
  <conditionalFormatting sqref="C13">
    <cfRule type="expression" priority="2" dxfId="1" stopIfTrue="1">
      <formula>$C$12&lt;&gt;""</formula>
    </cfRule>
  </conditionalFormatting>
  <conditionalFormatting sqref="C53">
    <cfRule type="expression" priority="3" dxfId="6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B1:J25"/>
  <sheetViews>
    <sheetView showGridLines="0" showRowColHeaders="0" zoomScale="75" zoomScaleNormal="75" zoomScalePageLayoutView="0" workbookViewId="0" topLeftCell="A1">
      <selection activeCell="E4" sqref="E4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</cols>
  <sheetData>
    <row r="1" spans="2:10" ht="24" thickTop="1">
      <c r="B1" s="7" t="s">
        <v>972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973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974</v>
      </c>
      <c r="E4" s="2"/>
      <c r="F4" s="18"/>
      <c r="G4" s="150" t="s">
        <v>90</v>
      </c>
      <c r="H4" s="150" t="s">
        <v>975</v>
      </c>
      <c r="I4" s="150" t="s">
        <v>976</v>
      </c>
      <c r="J4" s="151" t="s">
        <v>977</v>
      </c>
    </row>
    <row r="5" spans="2:10" ht="15">
      <c r="B5" s="29"/>
      <c r="C5" s="18"/>
      <c r="D5" s="38" t="s">
        <v>978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979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980</v>
      </c>
      <c r="E7" s="3">
        <v>1</v>
      </c>
      <c r="F7" s="50" t="s">
        <v>981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982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983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984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985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986</v>
      </c>
      <c r="C13" s="18"/>
      <c r="D13" s="38" t="s">
        <v>987</v>
      </c>
      <c r="E13" s="15" t="s">
        <v>988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989</v>
      </c>
      <c r="C14" s="38" t="s">
        <v>990</v>
      </c>
      <c r="D14" s="38" t="s">
        <v>991</v>
      </c>
      <c r="E14" s="15" t="s">
        <v>992</v>
      </c>
      <c r="F14" s="18" t="s">
        <v>993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994</v>
      </c>
      <c r="C15" s="38" t="s">
        <v>995</v>
      </c>
      <c r="D15" s="18"/>
      <c r="E15" s="18"/>
      <c r="F15" s="18" t="s">
        <v>996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997</v>
      </c>
      <c r="C16" s="38" t="s">
        <v>998</v>
      </c>
      <c r="D16" s="38" t="s">
        <v>987</v>
      </c>
      <c r="E16" s="15" t="s">
        <v>988</v>
      </c>
      <c r="F16" s="15" t="s">
        <v>999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1000</v>
      </c>
      <c r="C17" s="150"/>
      <c r="D17" s="38" t="s">
        <v>1001</v>
      </c>
      <c r="E17" s="15" t="s">
        <v>1002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1003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1004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1005</v>
      </c>
      <c r="C20" s="18"/>
      <c r="D20" s="11" t="s">
        <v>984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showGridLines="0" showRowColHeaders="0" zoomScale="75" zoomScaleNormal="75" zoomScalePageLayoutView="0" workbookViewId="0" topLeftCell="A1">
      <selection activeCell="B7" sqref="B7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1006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1007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1008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1009</v>
      </c>
      <c r="E5" s="277" t="s">
        <v>1010</v>
      </c>
      <c r="F5" s="276" t="s">
        <v>1011</v>
      </c>
      <c r="G5" s="277" t="s">
        <v>1011</v>
      </c>
      <c r="H5" s="278" t="s">
        <v>1009</v>
      </c>
      <c r="I5" s="277" t="s">
        <v>1010</v>
      </c>
      <c r="J5" s="276" t="s">
        <v>1012</v>
      </c>
      <c r="K5" s="279" t="s">
        <v>1012</v>
      </c>
    </row>
    <row r="6" spans="1:11" ht="12.75">
      <c r="A6" s="272"/>
      <c r="B6" s="273"/>
      <c r="C6" s="273"/>
      <c r="D6" s="280" t="s">
        <v>1013</v>
      </c>
      <c r="E6" s="281" t="s">
        <v>1013</v>
      </c>
      <c r="F6" s="280" t="s">
        <v>1014</v>
      </c>
      <c r="G6" s="281" t="s">
        <v>1015</v>
      </c>
      <c r="H6" s="282" t="s">
        <v>128</v>
      </c>
      <c r="I6" s="281" t="s">
        <v>128</v>
      </c>
      <c r="J6" s="292" t="s">
        <v>1016</v>
      </c>
      <c r="K6" s="283" t="s">
        <v>1014</v>
      </c>
    </row>
    <row r="7" spans="1:11" ht="15">
      <c r="A7" s="284" t="s">
        <v>1017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1018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1019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1020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1021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1022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1023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B1:J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</cols>
  <sheetData>
    <row r="1" spans="2:10" ht="24" thickTop="1">
      <c r="B1" s="7" t="s">
        <v>1024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1025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1026</v>
      </c>
      <c r="I4" s="50" t="s">
        <v>1027</v>
      </c>
      <c r="J4" s="19"/>
    </row>
    <row r="5" spans="2:10" ht="15">
      <c r="B5" s="52" t="s">
        <v>1028</v>
      </c>
      <c r="C5" s="38" t="s">
        <v>1029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1030</v>
      </c>
      <c r="C6" s="38" t="s">
        <v>1031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1032</v>
      </c>
      <c r="C7" s="38" t="s">
        <v>1033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1013</v>
      </c>
      <c r="C8" s="38" t="s">
        <v>1034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1027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tabColor indexed="8"/>
  </sheetPr>
  <dimension ref="B1:H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7.77734375" style="0" customWidth="1"/>
    <col min="2" max="2" width="21.77734375" style="0" customWidth="1"/>
    <col min="3" max="3" width="5.77734375" style="0" customWidth="1"/>
    <col min="4" max="7" width="9.77734375" style="0" customWidth="1"/>
    <col min="8" max="8" width="3.77734375" style="0" customWidth="1"/>
  </cols>
  <sheetData>
    <row r="1" spans="2:8" ht="24" thickTop="1">
      <c r="B1" s="7" t="s">
        <v>1035</v>
      </c>
      <c r="C1" s="8"/>
      <c r="D1" s="8"/>
      <c r="E1" s="8"/>
      <c r="F1" s="8"/>
      <c r="G1" s="8"/>
      <c r="H1" s="56"/>
    </row>
    <row r="2" spans="2:8" ht="13.5" customHeight="1">
      <c r="B2" s="49" t="s">
        <v>1036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1037</v>
      </c>
      <c r="G4" s="50" t="s">
        <v>1038</v>
      </c>
      <c r="H4" s="19"/>
    </row>
    <row r="5" spans="2:8" ht="15">
      <c r="B5" s="52" t="s">
        <v>1039</v>
      </c>
      <c r="C5" s="38" t="s">
        <v>1040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1041</v>
      </c>
      <c r="C6" s="38" t="s">
        <v>1042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1043</v>
      </c>
      <c r="C7" s="38" t="s">
        <v>1044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985</v>
      </c>
      <c r="C12" s="57"/>
      <c r="D12" s="57"/>
      <c r="E12" s="18"/>
      <c r="F12" s="18"/>
      <c r="G12" s="18"/>
      <c r="H12" s="19"/>
    </row>
    <row r="13" spans="2:8" ht="15">
      <c r="B13" s="49" t="s">
        <v>1045</v>
      </c>
      <c r="C13" s="11"/>
      <c r="D13" s="11"/>
      <c r="E13" s="18"/>
      <c r="F13" s="18"/>
      <c r="G13" s="18"/>
      <c r="H13" s="19"/>
    </row>
    <row r="14" spans="2:8" ht="15">
      <c r="B14" s="49" t="s">
        <v>1046</v>
      </c>
      <c r="C14" s="11"/>
      <c r="D14" s="11"/>
      <c r="E14" s="18"/>
      <c r="F14" s="18" t="s">
        <v>1037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72"/>
  <sheetViews>
    <sheetView showGridLines="0" showZeros="0" zoomScalePageLayoutView="0" workbookViewId="0" topLeftCell="A8">
      <selection activeCell="B24" sqref="B24"/>
    </sheetView>
  </sheetViews>
  <sheetFormatPr defaultColWidth="7.10546875" defaultRowHeight="15"/>
  <cols>
    <col min="1" max="28" width="3.6640625" style="566" customWidth="1"/>
    <col min="29" max="16384" width="7.10546875" style="566" customWidth="1"/>
  </cols>
  <sheetData>
    <row r="1" spans="1:28" ht="12.75" customHeight="1" hidden="1">
      <c r="A1" s="560"/>
      <c r="B1" s="561"/>
      <c r="C1" s="562" t="s">
        <v>882</v>
      </c>
      <c r="D1" s="562" t="s">
        <v>883</v>
      </c>
      <c r="E1" s="562" t="s">
        <v>884</v>
      </c>
      <c r="F1" s="562" t="s">
        <v>885</v>
      </c>
      <c r="G1" s="563"/>
      <c r="H1" s="563"/>
      <c r="I1" s="564"/>
      <c r="J1" s="563"/>
      <c r="K1" s="563"/>
      <c r="L1" s="563"/>
      <c r="M1" s="562" t="s">
        <v>886</v>
      </c>
      <c r="N1" s="562" t="s">
        <v>887</v>
      </c>
      <c r="O1" s="562" t="s">
        <v>888</v>
      </c>
      <c r="P1" s="562" t="s">
        <v>889</v>
      </c>
      <c r="Q1" s="563"/>
      <c r="R1" s="564"/>
      <c r="S1" s="563"/>
      <c r="T1" s="563"/>
      <c r="U1" s="562" t="s">
        <v>890</v>
      </c>
      <c r="V1" s="562" t="s">
        <v>891</v>
      </c>
      <c r="W1" s="562" t="s">
        <v>892</v>
      </c>
      <c r="X1" s="562" t="s">
        <v>893</v>
      </c>
      <c r="Y1" s="563"/>
      <c r="Z1" s="563"/>
      <c r="AA1" s="563"/>
      <c r="AB1" s="565"/>
    </row>
    <row r="2" spans="1:29" ht="13.5" customHeight="1" hidden="1">
      <c r="A2" s="567"/>
      <c r="B2" s="568"/>
      <c r="C2" s="569" t="str">
        <f>"1/1/"&amp;I8</f>
        <v>1/1/2013</v>
      </c>
      <c r="D2" s="568">
        <f>U2+31</f>
        <v>41365</v>
      </c>
      <c r="E2" s="568">
        <f>V2+30</f>
        <v>41456</v>
      </c>
      <c r="F2" s="568">
        <f>W2+30</f>
        <v>41548</v>
      </c>
      <c r="G2" s="568"/>
      <c r="H2" s="570"/>
      <c r="I2" s="571"/>
      <c r="J2" s="570"/>
      <c r="K2" s="570"/>
      <c r="L2" s="570">
        <f>IF(OR((AND(MOD(YEAR(C2),4)=0,MOD(YEAR(C2),100)&lt;&gt;0)),(MOD(YEAR(C2),400)=0)),29,28)</f>
        <v>28</v>
      </c>
      <c r="M2" s="568">
        <f>C2+31</f>
        <v>41306</v>
      </c>
      <c r="N2" s="568">
        <f>D2+30</f>
        <v>41395</v>
      </c>
      <c r="O2" s="568">
        <f>E2+31</f>
        <v>41487</v>
      </c>
      <c r="P2" s="568">
        <f>F2+31</f>
        <v>41579</v>
      </c>
      <c r="Q2" s="570"/>
      <c r="R2" s="571"/>
      <c r="S2" s="570"/>
      <c r="T2" s="570"/>
      <c r="U2" s="568">
        <f>M2+L2</f>
        <v>41334</v>
      </c>
      <c r="V2" s="568">
        <f>N2+31</f>
        <v>41426</v>
      </c>
      <c r="W2" s="568">
        <f>O2+31</f>
        <v>41518</v>
      </c>
      <c r="X2" s="568">
        <f>P2+30</f>
        <v>41609</v>
      </c>
      <c r="Y2" s="570"/>
      <c r="Z2" s="570"/>
      <c r="AA2" s="570"/>
      <c r="AC2" s="572"/>
    </row>
    <row r="3" spans="1:27" ht="14.25" customHeight="1" hidden="1">
      <c r="A3" s="573" t="s">
        <v>882</v>
      </c>
      <c r="B3" s="574"/>
      <c r="C3" s="570">
        <f>IF(WEEKDAY($C$2)=1,1,0)</f>
        <v>0</v>
      </c>
      <c r="D3" s="570">
        <f>IF(WEEKDAY($C$2)=2,1,0)</f>
        <v>0</v>
      </c>
      <c r="E3" s="570">
        <f>IF(WEEKDAY($C$2)=3,1,0)</f>
        <v>1</v>
      </c>
      <c r="F3" s="570">
        <f>IF(WEEKDAY($C$2)=4,1,0)</f>
        <v>0</v>
      </c>
      <c r="G3" s="570">
        <f>IF(WEEKDAY($C$2)=5,1,0)</f>
        <v>0</v>
      </c>
      <c r="H3" s="570">
        <f>IF(WEEKDAY($C$2)=6,1,0)</f>
        <v>0</v>
      </c>
      <c r="I3" s="571">
        <f>IF(WEEKDAY($C$2)=7,1,0)</f>
        <v>0</v>
      </c>
      <c r="J3" s="574" t="s">
        <v>886</v>
      </c>
      <c r="K3" s="574"/>
      <c r="L3" s="570">
        <f>IF(WEEKDAY($M$2)=1,1,0)</f>
        <v>0</v>
      </c>
      <c r="M3" s="570">
        <f>IF(WEEKDAY($M$2)=2,1,0)</f>
        <v>0</v>
      </c>
      <c r="N3" s="570">
        <f>IF(WEEKDAY($M$2)=3,1,0)</f>
        <v>0</v>
      </c>
      <c r="O3" s="570">
        <f>IF(WEEKDAY($M$2)=4,1,0)</f>
        <v>0</v>
      </c>
      <c r="P3" s="570">
        <f>IF(WEEKDAY($M$2)=5,1,0)</f>
        <v>0</v>
      </c>
      <c r="Q3" s="570">
        <f>IF(WEEKDAY($M$2)=6,1,0)</f>
        <v>1</v>
      </c>
      <c r="R3" s="571">
        <f>IF(WEEKDAY($M$2)=7,1,0)</f>
        <v>0</v>
      </c>
      <c r="S3" s="574" t="s">
        <v>890</v>
      </c>
      <c r="T3" s="574"/>
      <c r="U3" s="570">
        <f>IF(WEEKDAY($U$2)=1,1,0)</f>
        <v>0</v>
      </c>
      <c r="V3" s="570">
        <f>IF(WEEKDAY($U$2)=2,1,0)</f>
        <v>0</v>
      </c>
      <c r="W3" s="570">
        <f>IF(WEEKDAY($U$2)=3,1,0)</f>
        <v>0</v>
      </c>
      <c r="X3" s="570">
        <f>IF(WEEKDAY($U$2)=4,1,0)</f>
        <v>0</v>
      </c>
      <c r="Y3" s="570">
        <f>IF(WEEKDAY($U$2)=5,1,0)</f>
        <v>0</v>
      </c>
      <c r="Z3" s="570">
        <f>IF(WEEKDAY($U$2)=6,1,0)</f>
        <v>1</v>
      </c>
      <c r="AA3" s="570">
        <f>IF(WEEKDAY($U$2)=7,1,0)</f>
        <v>0</v>
      </c>
    </row>
    <row r="4" spans="1:27" ht="16.5" customHeight="1" hidden="1">
      <c r="A4" s="573" t="s">
        <v>883</v>
      </c>
      <c r="B4" s="574"/>
      <c r="C4" s="570">
        <f>IF(WEEKDAY($D$2)=1,1,0)</f>
        <v>0</v>
      </c>
      <c r="D4" s="570">
        <f>IF(WEEKDAY($D$2)=2,1,0)</f>
        <v>1</v>
      </c>
      <c r="E4" s="570">
        <f>IF(WEEKDAY($D$2)=3,1,0)</f>
        <v>0</v>
      </c>
      <c r="F4" s="570">
        <f>IF(WEEKDAY($D$2)=4,1,0)</f>
        <v>0</v>
      </c>
      <c r="G4" s="570">
        <f>IF(WEEKDAY($D$2)=5,1,0)</f>
        <v>0</v>
      </c>
      <c r="H4" s="570">
        <f>IF(WEEKDAY($D$2)=6,1,0)</f>
        <v>0</v>
      </c>
      <c r="I4" s="571">
        <f>IF(WEEKDAY($D$2)=7,1,0)</f>
        <v>0</v>
      </c>
      <c r="J4" s="574" t="s">
        <v>887</v>
      </c>
      <c r="K4" s="574"/>
      <c r="L4" s="570">
        <f>IF(WEEKDAY($N$2)=1,1,0)</f>
        <v>0</v>
      </c>
      <c r="M4" s="570">
        <f>IF(WEEKDAY($N$2)=2,1,0)</f>
        <v>0</v>
      </c>
      <c r="N4" s="570">
        <f>IF(WEEKDAY($N$2)=3,1,0)</f>
        <v>0</v>
      </c>
      <c r="O4" s="570">
        <f>IF(WEEKDAY($N$2)=4,1,0)</f>
        <v>1</v>
      </c>
      <c r="P4" s="570">
        <f>IF(WEEKDAY($N$2)=5,1,0)</f>
        <v>0</v>
      </c>
      <c r="Q4" s="570">
        <f>IF(WEEKDAY($N$2)=6,1,0)</f>
        <v>0</v>
      </c>
      <c r="R4" s="571">
        <f>IF(WEEKDAY($N$2)=7,1,0)</f>
        <v>0</v>
      </c>
      <c r="S4" s="574" t="s">
        <v>891</v>
      </c>
      <c r="T4" s="574"/>
      <c r="U4" s="570">
        <f>IF(WEEKDAY($V$2)=1,1,0)</f>
        <v>0</v>
      </c>
      <c r="V4" s="570">
        <f>IF(WEEKDAY($V$2)=2,1,0)</f>
        <v>0</v>
      </c>
      <c r="W4" s="570">
        <f>IF(WEEKDAY($V$2)=3,1,0)</f>
        <v>0</v>
      </c>
      <c r="X4" s="570">
        <f>IF(WEEKDAY($V$2)=4,1,0)</f>
        <v>0</v>
      </c>
      <c r="Y4" s="570">
        <f>IF(WEEKDAY($V$2)=5,1,0)</f>
        <v>0</v>
      </c>
      <c r="Z4" s="570">
        <f>IF(WEEKDAY($V$2)=6,1,0)</f>
        <v>0</v>
      </c>
      <c r="AA4" s="570">
        <f>IF(WEEKDAY($V$2)=7,1,0)</f>
        <v>1</v>
      </c>
    </row>
    <row r="5" spans="1:27" ht="16.5" customHeight="1" hidden="1">
      <c r="A5" s="573" t="s">
        <v>884</v>
      </c>
      <c r="B5" s="574"/>
      <c r="C5" s="570">
        <f>IF(WEEKDAY($E$2)=1,1,0)</f>
        <v>0</v>
      </c>
      <c r="D5" s="570">
        <f>IF(WEEKDAY($E$2)=2,1,0)</f>
        <v>1</v>
      </c>
      <c r="E5" s="570">
        <f>IF(WEEKDAY($E$2)=3,1,0)</f>
        <v>0</v>
      </c>
      <c r="F5" s="570">
        <f>IF(WEEKDAY($E$2)=4,1,0)</f>
        <v>0</v>
      </c>
      <c r="G5" s="570">
        <f>IF(WEEKDAY($E$2)=5,1,0)</f>
        <v>0</v>
      </c>
      <c r="H5" s="570">
        <f>IF(WEEKDAY($E$2)=6,1,0)</f>
        <v>0</v>
      </c>
      <c r="I5" s="571">
        <f>IF(WEEKDAY($E$2)=7,1,0)</f>
        <v>0</v>
      </c>
      <c r="J5" s="574" t="s">
        <v>888</v>
      </c>
      <c r="K5" s="574"/>
      <c r="L5" s="570">
        <f>IF(WEEKDAY($O$2)=1,1,0)</f>
        <v>0</v>
      </c>
      <c r="M5" s="570">
        <f>IF(WEEKDAY($O$2)=2,1,0)</f>
        <v>0</v>
      </c>
      <c r="N5" s="570">
        <f>IF(WEEKDAY($O$2)=3,1,0)</f>
        <v>0</v>
      </c>
      <c r="O5" s="570">
        <f>IF(WEEKDAY($O$2)=4,1,0)</f>
        <v>0</v>
      </c>
      <c r="P5" s="570">
        <f>IF(WEEKDAY($O$2)=5,1,0)</f>
        <v>1</v>
      </c>
      <c r="Q5" s="570">
        <f>IF(WEEKDAY($O$2)=6,1,0)</f>
        <v>0</v>
      </c>
      <c r="R5" s="571">
        <f>IF(WEEKDAY($O$2)=7,1,0)</f>
        <v>0</v>
      </c>
      <c r="S5" s="574" t="s">
        <v>892</v>
      </c>
      <c r="T5" s="574"/>
      <c r="U5" s="570">
        <f>IF(WEEKDAY($W$2)=1,1,0)</f>
        <v>1</v>
      </c>
      <c r="V5" s="570">
        <f>IF(WEEKDAY($W$2)=2,1,0)</f>
        <v>0</v>
      </c>
      <c r="W5" s="570">
        <f>IF(WEEKDAY($W$2)=3,1,0)</f>
        <v>0</v>
      </c>
      <c r="X5" s="570">
        <f>IF(WEEKDAY($W$2)=4,1,0)</f>
        <v>0</v>
      </c>
      <c r="Y5" s="570">
        <f>IF(WEEKDAY($W$2)=5,1,0)</f>
        <v>0</v>
      </c>
      <c r="Z5" s="570">
        <f>IF(WEEKDAY($W$2)=6,1,0)</f>
        <v>0</v>
      </c>
      <c r="AA5" s="570">
        <f>IF(WEEKDAY($W$2)=7,1,0)</f>
        <v>0</v>
      </c>
    </row>
    <row r="6" spans="1:27" ht="20.25" customHeight="1" hidden="1">
      <c r="A6" s="573" t="s">
        <v>885</v>
      </c>
      <c r="B6" s="574"/>
      <c r="C6" s="570">
        <f>IF(WEEKDAY($F$2)=1,1,0)</f>
        <v>0</v>
      </c>
      <c r="D6" s="570">
        <f>IF(WEEKDAY($F$2)=2,1,0)</f>
        <v>0</v>
      </c>
      <c r="E6" s="570">
        <f>IF(WEEKDAY($F$2)=3,1,0)</f>
        <v>1</v>
      </c>
      <c r="F6" s="570">
        <f>IF(WEEKDAY($F$2)=4,1,0)</f>
        <v>0</v>
      </c>
      <c r="G6" s="570">
        <f>IF(WEEKDAY($F$2)=5,1,0)</f>
        <v>0</v>
      </c>
      <c r="H6" s="570">
        <f>IF(WEEKDAY($F$2)=6,1,0)</f>
        <v>0</v>
      </c>
      <c r="I6" s="571">
        <f>IF(WEEKDAY($F$2)=7,1,0)</f>
        <v>0</v>
      </c>
      <c r="J6" s="574" t="s">
        <v>889</v>
      </c>
      <c r="K6" s="574"/>
      <c r="L6" s="570">
        <f>IF(WEEKDAY($P$2)=1,1,0)</f>
        <v>0</v>
      </c>
      <c r="M6" s="570">
        <f>IF(WEEKDAY($P$2)=2,1,0)</f>
        <v>0</v>
      </c>
      <c r="N6" s="570">
        <f>IF(WEEKDAY($P$2)=3,1,0)</f>
        <v>0</v>
      </c>
      <c r="O6" s="570">
        <f>IF(WEEKDAY($P$2)=4,1,0)</f>
        <v>0</v>
      </c>
      <c r="P6" s="570">
        <f>IF(WEEKDAY($P$2)=5,1,0)</f>
        <v>0</v>
      </c>
      <c r="Q6" s="570">
        <f>IF(WEEKDAY($P$2)=6,1,0)</f>
        <v>1</v>
      </c>
      <c r="R6" s="571">
        <f>IF(WEEKDAY($P$2)=7,1,0)</f>
        <v>0</v>
      </c>
      <c r="S6" s="574" t="s">
        <v>893</v>
      </c>
      <c r="T6" s="574"/>
      <c r="U6" s="570">
        <f>IF(WEEKDAY($X$2)=1,1,0)</f>
        <v>1</v>
      </c>
      <c r="V6" s="570">
        <f>IF(WEEKDAY($X$2)=2,1,0)</f>
        <v>0</v>
      </c>
      <c r="W6" s="570">
        <f>IF(WEEKDAY($X$2)=3,1,0)</f>
        <v>0</v>
      </c>
      <c r="X6" s="570">
        <f>IF(WEEKDAY($X$2)=4,1,0)</f>
        <v>0</v>
      </c>
      <c r="Y6" s="570">
        <f>IF(WEEKDAY($X$2)=5,1,0)</f>
        <v>0</v>
      </c>
      <c r="Z6" s="570">
        <f>IF(WEEKDAY($X$2)=6,1,0)</f>
        <v>0</v>
      </c>
      <c r="AA6" s="570">
        <f>IF(WEEKDAY($X$2)=7,1,0)</f>
        <v>0</v>
      </c>
    </row>
    <row r="7" ht="14.25" customHeight="1" hidden="1"/>
    <row r="8" spans="1:19" ht="24.75" customHeight="1">
      <c r="A8" s="575"/>
      <c r="B8" s="576"/>
      <c r="C8" s="577" t="s">
        <v>894</v>
      </c>
      <c r="D8" s="578"/>
      <c r="E8" s="578"/>
      <c r="F8" s="578"/>
      <c r="G8" s="578"/>
      <c r="H8" s="579"/>
      <c r="I8" s="655">
        <v>2013</v>
      </c>
      <c r="J8" s="655"/>
      <c r="K8" s="655"/>
      <c r="N8" s="580" t="s">
        <v>895</v>
      </c>
      <c r="O8" s="581"/>
      <c r="P8" s="581"/>
      <c r="Q8" s="581"/>
      <c r="R8" s="581"/>
      <c r="S8" s="581"/>
    </row>
    <row r="9" spans="1:11" ht="15.75" customHeight="1" thickBot="1">
      <c r="A9" s="582"/>
      <c r="B9" s="582"/>
      <c r="C9" s="583" t="s">
        <v>896</v>
      </c>
      <c r="D9" s="584"/>
      <c r="E9" s="584"/>
      <c r="F9" s="584"/>
      <c r="G9" s="584"/>
      <c r="H9" s="579"/>
      <c r="I9" s="585"/>
      <c r="J9" s="585"/>
      <c r="K9" s="585"/>
    </row>
    <row r="10" spans="1:28" ht="7.5" customHeight="1">
      <c r="A10" s="586"/>
      <c r="B10" s="587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9"/>
    </row>
    <row r="11" spans="1:28" ht="7.5" customHeight="1">
      <c r="A11" s="590"/>
      <c r="B11" s="591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3"/>
    </row>
    <row r="12" spans="1:28" ht="24.75">
      <c r="A12" s="594"/>
      <c r="B12" s="595"/>
      <c r="C12" s="596"/>
      <c r="D12" s="596"/>
      <c r="E12" s="596"/>
      <c r="F12" s="596"/>
      <c r="G12" s="596"/>
      <c r="H12" s="596"/>
      <c r="I12" s="596"/>
      <c r="J12" s="657" t="s">
        <v>897</v>
      </c>
      <c r="K12" s="657"/>
      <c r="L12" s="657"/>
      <c r="M12" s="657"/>
      <c r="N12" s="657"/>
      <c r="O12" s="657"/>
      <c r="P12" s="656">
        <f>I8</f>
        <v>2013</v>
      </c>
      <c r="Q12" s="65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7"/>
    </row>
    <row r="13" spans="1:28" ht="20.25">
      <c r="A13" s="594"/>
      <c r="B13" s="595"/>
      <c r="C13" s="596"/>
      <c r="D13" s="596"/>
      <c r="E13" s="596"/>
      <c r="F13" s="596"/>
      <c r="G13" s="596"/>
      <c r="H13" s="596"/>
      <c r="I13" s="596"/>
      <c r="J13" s="598"/>
      <c r="K13" s="598"/>
      <c r="L13" s="598"/>
      <c r="M13" s="598"/>
      <c r="N13" s="598"/>
      <c r="O13" s="598"/>
      <c r="P13" s="599"/>
      <c r="Q13" s="599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7"/>
    </row>
    <row r="14" spans="1:28" ht="12.75">
      <c r="A14" s="590"/>
      <c r="B14" s="591"/>
      <c r="C14" s="592"/>
      <c r="D14" s="592"/>
      <c r="E14" s="600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3"/>
    </row>
    <row r="15" spans="1:28" ht="12.75">
      <c r="A15" s="590"/>
      <c r="B15" s="591"/>
      <c r="C15" s="592"/>
      <c r="D15" s="592"/>
      <c r="E15" s="600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3"/>
    </row>
    <row r="16" spans="1:28" ht="12.75">
      <c r="A16" s="590"/>
      <c r="B16" s="591"/>
      <c r="C16" s="592"/>
      <c r="D16" s="592"/>
      <c r="E16" s="600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3"/>
    </row>
    <row r="17" spans="1:28" ht="12.75">
      <c r="A17" s="590"/>
      <c r="B17" s="591"/>
      <c r="C17" s="592"/>
      <c r="D17" s="592"/>
      <c r="E17" s="600"/>
      <c r="F17" s="592"/>
      <c r="G17" s="592"/>
      <c r="H17" s="592"/>
      <c r="I17" s="592"/>
      <c r="J17" s="592"/>
      <c r="K17" s="592"/>
      <c r="L17" s="592"/>
      <c r="M17" s="592"/>
      <c r="N17" s="600"/>
      <c r="O17" s="592"/>
      <c r="P17" s="592"/>
      <c r="Q17" s="592"/>
      <c r="R17" s="592"/>
      <c r="S17" s="592"/>
      <c r="T17" s="592"/>
      <c r="U17" s="592"/>
      <c r="V17" s="592"/>
      <c r="W17" s="592"/>
      <c r="X17" s="600"/>
      <c r="Y17" s="592"/>
      <c r="Z17" s="592"/>
      <c r="AA17" s="592"/>
      <c r="AB17" s="593"/>
    </row>
    <row r="18" spans="1:28" ht="12.75">
      <c r="A18" s="590"/>
      <c r="B18" s="591"/>
      <c r="C18" s="592"/>
      <c r="D18" s="592"/>
      <c r="E18" s="600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3"/>
    </row>
    <row r="19" spans="1:28" ht="12.75">
      <c r="A19" s="590"/>
      <c r="B19" s="591"/>
      <c r="C19" s="592"/>
      <c r="D19" s="592"/>
      <c r="E19" s="600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3"/>
    </row>
    <row r="20" spans="1:28" ht="12.75">
      <c r="A20" s="590"/>
      <c r="B20" s="591"/>
      <c r="C20" s="592"/>
      <c r="D20" s="592"/>
      <c r="E20" s="600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3"/>
    </row>
    <row r="21" spans="1:28" s="604" customFormat="1" ht="18" customHeight="1" thickBot="1">
      <c r="A21" s="601"/>
      <c r="B21" s="658" t="s">
        <v>898</v>
      </c>
      <c r="C21" s="658"/>
      <c r="D21" s="658"/>
      <c r="E21" s="658"/>
      <c r="F21" s="658"/>
      <c r="G21" s="658"/>
      <c r="H21" s="658"/>
      <c r="I21" s="658"/>
      <c r="J21" s="602"/>
      <c r="K21" s="652" t="s">
        <v>899</v>
      </c>
      <c r="L21" s="652"/>
      <c r="M21" s="652"/>
      <c r="N21" s="652"/>
      <c r="O21" s="652"/>
      <c r="P21" s="652"/>
      <c r="Q21" s="652"/>
      <c r="R21" s="652"/>
      <c r="S21" s="602"/>
      <c r="T21" s="659" t="s">
        <v>900</v>
      </c>
      <c r="U21" s="659"/>
      <c r="V21" s="659"/>
      <c r="W21" s="659"/>
      <c r="X21" s="659"/>
      <c r="Y21" s="659"/>
      <c r="Z21" s="659"/>
      <c r="AA21" s="659"/>
      <c r="AB21" s="603"/>
    </row>
    <row r="22" spans="1:28" ht="18" customHeight="1">
      <c r="A22" s="605"/>
      <c r="B22" s="606" t="s">
        <v>901</v>
      </c>
      <c r="C22" s="607" t="s">
        <v>902</v>
      </c>
      <c r="D22" s="608" t="s">
        <v>903</v>
      </c>
      <c r="E22" s="608" t="s">
        <v>904</v>
      </c>
      <c r="F22" s="608" t="s">
        <v>905</v>
      </c>
      <c r="G22" s="608" t="s">
        <v>906</v>
      </c>
      <c r="H22" s="608" t="s">
        <v>907</v>
      </c>
      <c r="I22" s="609" t="s">
        <v>908</v>
      </c>
      <c r="J22" s="610"/>
      <c r="K22" s="606" t="s">
        <v>901</v>
      </c>
      <c r="L22" s="607" t="s">
        <v>902</v>
      </c>
      <c r="M22" s="608" t="s">
        <v>903</v>
      </c>
      <c r="N22" s="608" t="s">
        <v>904</v>
      </c>
      <c r="O22" s="608" t="s">
        <v>905</v>
      </c>
      <c r="P22" s="608" t="s">
        <v>906</v>
      </c>
      <c r="Q22" s="608" t="s">
        <v>907</v>
      </c>
      <c r="R22" s="609" t="s">
        <v>908</v>
      </c>
      <c r="S22" s="610"/>
      <c r="T22" s="606" t="s">
        <v>901</v>
      </c>
      <c r="U22" s="607" t="s">
        <v>902</v>
      </c>
      <c r="V22" s="608" t="s">
        <v>903</v>
      </c>
      <c r="W22" s="608" t="s">
        <v>904</v>
      </c>
      <c r="X22" s="608" t="s">
        <v>905</v>
      </c>
      <c r="Y22" s="608" t="s">
        <v>906</v>
      </c>
      <c r="Z22" s="608" t="s">
        <v>907</v>
      </c>
      <c r="AA22" s="609" t="s">
        <v>908</v>
      </c>
      <c r="AB22" s="593"/>
    </row>
    <row r="23" spans="1:28" ht="18" customHeight="1">
      <c r="A23" s="611"/>
      <c r="B23" s="612">
        <v>1</v>
      </c>
      <c r="C23" s="613">
        <f>IF($C$3=1,1,0)</f>
        <v>0</v>
      </c>
      <c r="D23" s="614">
        <f>IF($D$3=1,1,IF(C23&gt;0,C23+1,0))</f>
        <v>0</v>
      </c>
      <c r="E23" s="614">
        <f>IF($E$3=1,1,IF(D23&gt;0,D23+1,0))</f>
        <v>1</v>
      </c>
      <c r="F23" s="614">
        <f>IF($F$3=1,1,IF(E23&gt;0,E23+1,0))</f>
        <v>2</v>
      </c>
      <c r="G23" s="614">
        <f>IF($G$3=1,1,IF(F23&gt;0,F23+1,0))</f>
        <v>3</v>
      </c>
      <c r="H23" s="614">
        <f>IF($H$3=1,1,IF(G23&gt;0,G23+1,0))</f>
        <v>4</v>
      </c>
      <c r="I23" s="615">
        <f>IF($I$3=1,1,IF(H23&gt;0,H23+1,0))</f>
        <v>5</v>
      </c>
      <c r="J23" s="616"/>
      <c r="K23" s="617">
        <f>IF(B28&gt;0,B27+1,B27)</f>
        <v>5</v>
      </c>
      <c r="L23" s="613">
        <f>IF($L$3=1,1,0)</f>
        <v>0</v>
      </c>
      <c r="M23" s="614">
        <f>IF($M$3=1,1,IF(L23&gt;0,L23+1,0))</f>
        <v>0</v>
      </c>
      <c r="N23" s="614">
        <f>IF($N$3=1,1,IF(M23&gt;0,M23+1,0))</f>
        <v>0</v>
      </c>
      <c r="O23" s="614">
        <f>IF($O$3=1,1,IF(N23&gt;0,N23+1,0))</f>
        <v>0</v>
      </c>
      <c r="P23" s="614">
        <f>IF($P$3=1,1,IF(O23&gt;0,O23+1,0))</f>
        <v>0</v>
      </c>
      <c r="Q23" s="614">
        <f>IF($Q$3=1,1,IF(P23&gt;0,P23+1,0))</f>
        <v>1</v>
      </c>
      <c r="R23" s="615">
        <f>IF($R$3=1,1,IF(Q23&gt;0,Q23+1,0))</f>
        <v>2</v>
      </c>
      <c r="S23" s="616"/>
      <c r="T23" s="617">
        <f>IF(K28&gt;0,K27+1,K27)</f>
        <v>9</v>
      </c>
      <c r="U23" s="613">
        <f>IF($U$3=1,1,0)</f>
        <v>0</v>
      </c>
      <c r="V23" s="614">
        <f>IF($V$3=1,1,IF(U23&gt;0,U23+1,0))</f>
        <v>0</v>
      </c>
      <c r="W23" s="614">
        <f>IF($W$3=1,1,IF(V23&gt;0,V23+1,0))</f>
        <v>0</v>
      </c>
      <c r="X23" s="614">
        <f>IF($X$3=1,1,IF(W23&gt;0,W23+1,0))</f>
        <v>0</v>
      </c>
      <c r="Y23" s="614">
        <f>IF($Y$3=1,1,IF(X23&gt;0,X23+1,0))</f>
        <v>0</v>
      </c>
      <c r="Z23" s="614">
        <f>IF($Z$3=1,1,IF(Y23&gt;0,Y23+1,0))</f>
        <v>1</v>
      </c>
      <c r="AA23" s="615">
        <f>IF($AA$3=1,1,IF(Z23&gt;0,Z23+1,0))</f>
        <v>2</v>
      </c>
      <c r="AB23" s="593"/>
    </row>
    <row r="24" spans="1:28" ht="18" customHeight="1">
      <c r="A24" s="611"/>
      <c r="B24" s="618">
        <f>B23+1</f>
        <v>2</v>
      </c>
      <c r="C24" s="619">
        <f>IF(AND(I23&gt;0,I23&lt;31),I23+1,0)</f>
        <v>6</v>
      </c>
      <c r="D24" s="620">
        <f aca="true" t="shared" si="0" ref="D24:I28">IF(AND(C24&gt;0,C24&lt;31),C24+1,0)</f>
        <v>7</v>
      </c>
      <c r="E24" s="620">
        <f t="shared" si="0"/>
        <v>8</v>
      </c>
      <c r="F24" s="620">
        <f t="shared" si="0"/>
        <v>9</v>
      </c>
      <c r="G24" s="620">
        <f t="shared" si="0"/>
        <v>10</v>
      </c>
      <c r="H24" s="620">
        <f t="shared" si="0"/>
        <v>11</v>
      </c>
      <c r="I24" s="621">
        <f t="shared" si="0"/>
        <v>12</v>
      </c>
      <c r="J24" s="616"/>
      <c r="K24" s="617">
        <f>K23+1</f>
        <v>6</v>
      </c>
      <c r="L24" s="619">
        <f>IF(AND(R23&gt;0,R23&lt;$L$2),R23+1,0)</f>
        <v>3</v>
      </c>
      <c r="M24" s="620">
        <f aca="true" t="shared" si="1" ref="M24:R28">IF(AND(L24&gt;0,L24&lt;$L$2),L24+1,0)</f>
        <v>4</v>
      </c>
      <c r="N24" s="620">
        <f t="shared" si="1"/>
        <v>5</v>
      </c>
      <c r="O24" s="620">
        <f t="shared" si="1"/>
        <v>6</v>
      </c>
      <c r="P24" s="620">
        <f t="shared" si="1"/>
        <v>7</v>
      </c>
      <c r="Q24" s="620">
        <f t="shared" si="1"/>
        <v>8</v>
      </c>
      <c r="R24" s="621">
        <f t="shared" si="1"/>
        <v>9</v>
      </c>
      <c r="S24" s="616"/>
      <c r="T24" s="617">
        <f>T23+1</f>
        <v>10</v>
      </c>
      <c r="U24" s="619">
        <f>IF(AND(AA23&gt;0,AA23&lt;31),AA23+1,0)</f>
        <v>3</v>
      </c>
      <c r="V24" s="620">
        <f aca="true" t="shared" si="2" ref="V24:AA28">IF(AND(U24&gt;0,U24&lt;31),U24+1,0)</f>
        <v>4</v>
      </c>
      <c r="W24" s="620">
        <f t="shared" si="2"/>
        <v>5</v>
      </c>
      <c r="X24" s="620">
        <f t="shared" si="2"/>
        <v>6</v>
      </c>
      <c r="Y24" s="620">
        <f t="shared" si="2"/>
        <v>7</v>
      </c>
      <c r="Z24" s="620">
        <f t="shared" si="2"/>
        <v>8</v>
      </c>
      <c r="AA24" s="621">
        <f t="shared" si="2"/>
        <v>9</v>
      </c>
      <c r="AB24" s="593"/>
    </row>
    <row r="25" spans="1:28" ht="18" customHeight="1">
      <c r="A25" s="611"/>
      <c r="B25" s="618">
        <f>B24+1</f>
        <v>3</v>
      </c>
      <c r="C25" s="619">
        <f>IF(AND(I24&gt;0,I24&lt;31),I24+1,0)</f>
        <v>13</v>
      </c>
      <c r="D25" s="620">
        <f t="shared" si="0"/>
        <v>14</v>
      </c>
      <c r="E25" s="620">
        <f t="shared" si="0"/>
        <v>15</v>
      </c>
      <c r="F25" s="620">
        <f t="shared" si="0"/>
        <v>16</v>
      </c>
      <c r="G25" s="620">
        <f t="shared" si="0"/>
        <v>17</v>
      </c>
      <c r="H25" s="620">
        <f t="shared" si="0"/>
        <v>18</v>
      </c>
      <c r="I25" s="621">
        <f t="shared" si="0"/>
        <v>19</v>
      </c>
      <c r="J25" s="616"/>
      <c r="K25" s="617">
        <f>K24+1</f>
        <v>7</v>
      </c>
      <c r="L25" s="619">
        <f>IF(AND(R24&gt;0,R24&lt;$L$2),R24+1,0)</f>
        <v>10</v>
      </c>
      <c r="M25" s="620">
        <f t="shared" si="1"/>
        <v>11</v>
      </c>
      <c r="N25" s="620">
        <f t="shared" si="1"/>
        <v>12</v>
      </c>
      <c r="O25" s="620">
        <f t="shared" si="1"/>
        <v>13</v>
      </c>
      <c r="P25" s="620">
        <f t="shared" si="1"/>
        <v>14</v>
      </c>
      <c r="Q25" s="620">
        <f t="shared" si="1"/>
        <v>15</v>
      </c>
      <c r="R25" s="621">
        <f t="shared" si="1"/>
        <v>16</v>
      </c>
      <c r="S25" s="616"/>
      <c r="T25" s="617">
        <f>T24+1</f>
        <v>11</v>
      </c>
      <c r="U25" s="619">
        <f>IF(AND(AA24&gt;0,AA24&lt;31),AA24+1,0)</f>
        <v>10</v>
      </c>
      <c r="V25" s="620">
        <f t="shared" si="2"/>
        <v>11</v>
      </c>
      <c r="W25" s="620">
        <f t="shared" si="2"/>
        <v>12</v>
      </c>
      <c r="X25" s="620">
        <f t="shared" si="2"/>
        <v>13</v>
      </c>
      <c r="Y25" s="620">
        <f t="shared" si="2"/>
        <v>14</v>
      </c>
      <c r="Z25" s="620">
        <f t="shared" si="2"/>
        <v>15</v>
      </c>
      <c r="AA25" s="621">
        <f t="shared" si="2"/>
        <v>16</v>
      </c>
      <c r="AB25" s="593"/>
    </row>
    <row r="26" spans="1:28" ht="18" customHeight="1">
      <c r="A26" s="611"/>
      <c r="B26" s="618">
        <f>B25+1</f>
        <v>4</v>
      </c>
      <c r="C26" s="619">
        <f>IF(AND(I25&gt;0,I25&lt;31),I25+1,0)</f>
        <v>20</v>
      </c>
      <c r="D26" s="620">
        <f t="shared" si="0"/>
        <v>21</v>
      </c>
      <c r="E26" s="620">
        <f t="shared" si="0"/>
        <v>22</v>
      </c>
      <c r="F26" s="620">
        <f t="shared" si="0"/>
        <v>23</v>
      </c>
      <c r="G26" s="620">
        <f t="shared" si="0"/>
        <v>24</v>
      </c>
      <c r="H26" s="620">
        <f t="shared" si="0"/>
        <v>25</v>
      </c>
      <c r="I26" s="621">
        <f t="shared" si="0"/>
        <v>26</v>
      </c>
      <c r="J26" s="616"/>
      <c r="K26" s="617">
        <f>K25+1</f>
        <v>8</v>
      </c>
      <c r="L26" s="619">
        <f>IF(AND(R25&gt;0,R25&lt;$L$2),R25+1,0)</f>
        <v>17</v>
      </c>
      <c r="M26" s="620">
        <f t="shared" si="1"/>
        <v>18</v>
      </c>
      <c r="N26" s="620">
        <f t="shared" si="1"/>
        <v>19</v>
      </c>
      <c r="O26" s="620">
        <f t="shared" si="1"/>
        <v>20</v>
      </c>
      <c r="P26" s="620">
        <f t="shared" si="1"/>
        <v>21</v>
      </c>
      <c r="Q26" s="620">
        <f t="shared" si="1"/>
        <v>22</v>
      </c>
      <c r="R26" s="621">
        <f t="shared" si="1"/>
        <v>23</v>
      </c>
      <c r="S26" s="616"/>
      <c r="T26" s="617">
        <f>T25+1</f>
        <v>12</v>
      </c>
      <c r="U26" s="619">
        <f>IF(AND(AA25&gt;0,AA25&lt;31),AA25+1,0)</f>
        <v>17</v>
      </c>
      <c r="V26" s="620">
        <f t="shared" si="2"/>
        <v>18</v>
      </c>
      <c r="W26" s="620">
        <f t="shared" si="2"/>
        <v>19</v>
      </c>
      <c r="X26" s="620">
        <f t="shared" si="2"/>
        <v>20</v>
      </c>
      <c r="Y26" s="620">
        <f t="shared" si="2"/>
        <v>21</v>
      </c>
      <c r="Z26" s="620">
        <f t="shared" si="2"/>
        <v>22</v>
      </c>
      <c r="AA26" s="621">
        <f t="shared" si="2"/>
        <v>23</v>
      </c>
      <c r="AB26" s="593"/>
    </row>
    <row r="27" spans="1:28" ht="18" customHeight="1">
      <c r="A27" s="611"/>
      <c r="B27" s="618">
        <f>B26+1</f>
        <v>5</v>
      </c>
      <c r="C27" s="619">
        <f>IF(AND(I26&gt;0,I26&lt;31),I26+1,0)</f>
        <v>27</v>
      </c>
      <c r="D27" s="620">
        <f t="shared" si="0"/>
        <v>28</v>
      </c>
      <c r="E27" s="620">
        <f t="shared" si="0"/>
        <v>29</v>
      </c>
      <c r="F27" s="620">
        <f t="shared" si="0"/>
        <v>30</v>
      </c>
      <c r="G27" s="620">
        <f t="shared" si="0"/>
        <v>31</v>
      </c>
      <c r="H27" s="620">
        <f t="shared" si="0"/>
        <v>0</v>
      </c>
      <c r="I27" s="621">
        <f t="shared" si="0"/>
        <v>0</v>
      </c>
      <c r="J27" s="616"/>
      <c r="K27" s="617">
        <f>K26+1</f>
        <v>9</v>
      </c>
      <c r="L27" s="619">
        <f>IF(AND(R26&gt;0,R26&lt;$L$2),R26+1,0)</f>
        <v>24</v>
      </c>
      <c r="M27" s="620">
        <f t="shared" si="1"/>
        <v>25</v>
      </c>
      <c r="N27" s="620">
        <f t="shared" si="1"/>
        <v>26</v>
      </c>
      <c r="O27" s="620">
        <f t="shared" si="1"/>
        <v>27</v>
      </c>
      <c r="P27" s="620">
        <f t="shared" si="1"/>
        <v>28</v>
      </c>
      <c r="Q27" s="620">
        <f t="shared" si="1"/>
        <v>0</v>
      </c>
      <c r="R27" s="621">
        <f t="shared" si="1"/>
        <v>0</v>
      </c>
      <c r="S27" s="616"/>
      <c r="T27" s="617">
        <f>T26+1</f>
        <v>13</v>
      </c>
      <c r="U27" s="619">
        <f>IF(AND(AA26&gt;0,AA26&lt;31),AA26+1,0)</f>
        <v>24</v>
      </c>
      <c r="V27" s="620">
        <f t="shared" si="2"/>
        <v>25</v>
      </c>
      <c r="W27" s="620">
        <f t="shared" si="2"/>
        <v>26</v>
      </c>
      <c r="X27" s="620">
        <f t="shared" si="2"/>
        <v>27</v>
      </c>
      <c r="Y27" s="620">
        <f t="shared" si="2"/>
        <v>28</v>
      </c>
      <c r="Z27" s="622">
        <f t="shared" si="2"/>
        <v>29</v>
      </c>
      <c r="AA27" s="621">
        <f t="shared" si="2"/>
        <v>30</v>
      </c>
      <c r="AB27" s="593"/>
    </row>
    <row r="28" spans="1:28" ht="18" customHeight="1" thickBot="1">
      <c r="A28" s="611"/>
      <c r="B28" s="623">
        <f>IF(C28=0,0,B27+1)</f>
        <v>0</v>
      </c>
      <c r="C28" s="624">
        <f>IF(AND(I27&gt;0,I27&lt;31),I27+1,0)</f>
        <v>0</v>
      </c>
      <c r="D28" s="625">
        <f t="shared" si="0"/>
        <v>0</v>
      </c>
      <c r="E28" s="625">
        <f t="shared" si="0"/>
        <v>0</v>
      </c>
      <c r="F28" s="625">
        <f t="shared" si="0"/>
        <v>0</v>
      </c>
      <c r="G28" s="625">
        <f t="shared" si="0"/>
        <v>0</v>
      </c>
      <c r="H28" s="625">
        <f t="shared" si="0"/>
        <v>0</v>
      </c>
      <c r="I28" s="626">
        <f t="shared" si="0"/>
        <v>0</v>
      </c>
      <c r="J28" s="616"/>
      <c r="K28" s="627">
        <f>IF(L28=0,0,K27+1)</f>
        <v>0</v>
      </c>
      <c r="L28" s="628">
        <f>IF(AND(R27&gt;0,R27&lt;$L$2),R27+1,0)</f>
        <v>0</v>
      </c>
      <c r="M28" s="625">
        <f t="shared" si="1"/>
        <v>0</v>
      </c>
      <c r="N28" s="625">
        <f t="shared" si="1"/>
        <v>0</v>
      </c>
      <c r="O28" s="625">
        <f t="shared" si="1"/>
        <v>0</v>
      </c>
      <c r="P28" s="625">
        <f t="shared" si="1"/>
        <v>0</v>
      </c>
      <c r="Q28" s="625">
        <f t="shared" si="1"/>
        <v>0</v>
      </c>
      <c r="R28" s="626">
        <f t="shared" si="1"/>
        <v>0</v>
      </c>
      <c r="S28" s="616"/>
      <c r="T28" s="627">
        <f>IF(U28=0,0,T27+1)</f>
        <v>14</v>
      </c>
      <c r="U28" s="628">
        <f>IF(AND(AA27&gt;0,AA27&lt;31),AA27+1,0)</f>
        <v>31</v>
      </c>
      <c r="V28" s="625">
        <f t="shared" si="2"/>
        <v>0</v>
      </c>
      <c r="W28" s="625">
        <f t="shared" si="2"/>
        <v>0</v>
      </c>
      <c r="X28" s="625">
        <f t="shared" si="2"/>
        <v>0</v>
      </c>
      <c r="Y28" s="625">
        <f t="shared" si="2"/>
        <v>0</v>
      </c>
      <c r="Z28" s="625">
        <f t="shared" si="2"/>
        <v>0</v>
      </c>
      <c r="AA28" s="626">
        <f t="shared" si="2"/>
        <v>0</v>
      </c>
      <c r="AB28" s="593"/>
    </row>
    <row r="29" spans="1:28" ht="18" customHeight="1">
      <c r="A29" s="611"/>
      <c r="B29" s="629"/>
      <c r="C29" s="630"/>
      <c r="D29" s="592"/>
      <c r="E29" s="592"/>
      <c r="F29" s="592"/>
      <c r="G29" s="592"/>
      <c r="H29" s="631"/>
      <c r="I29" s="630"/>
      <c r="J29" s="616"/>
      <c r="K29" s="629"/>
      <c r="L29" s="630"/>
      <c r="M29" s="592"/>
      <c r="N29" s="592"/>
      <c r="O29" s="592"/>
      <c r="P29" s="592"/>
      <c r="Q29" s="631"/>
      <c r="R29" s="630"/>
      <c r="S29" s="616"/>
      <c r="T29" s="629"/>
      <c r="U29" s="630"/>
      <c r="V29" s="592"/>
      <c r="W29" s="592"/>
      <c r="X29" s="592"/>
      <c r="Y29" s="592"/>
      <c r="Z29" s="631"/>
      <c r="AA29" s="630"/>
      <c r="AB29" s="593"/>
    </row>
    <row r="30" spans="1:28" ht="18" customHeight="1">
      <c r="A30" s="611"/>
      <c r="B30" s="629"/>
      <c r="C30" s="630"/>
      <c r="D30" s="592"/>
      <c r="E30" s="592"/>
      <c r="F30" s="592"/>
      <c r="G30" s="592"/>
      <c r="H30" s="631"/>
      <c r="I30" s="630"/>
      <c r="J30" s="616"/>
      <c r="K30" s="629"/>
      <c r="L30" s="630"/>
      <c r="M30" s="592"/>
      <c r="N30" s="592"/>
      <c r="O30" s="592"/>
      <c r="P30" s="592"/>
      <c r="Q30" s="631"/>
      <c r="R30" s="630"/>
      <c r="S30" s="616"/>
      <c r="T30" s="629"/>
      <c r="U30" s="630"/>
      <c r="V30" s="592"/>
      <c r="W30" s="592"/>
      <c r="X30" s="592"/>
      <c r="Y30" s="592"/>
      <c r="Z30" s="631"/>
      <c r="AA30" s="630"/>
      <c r="AB30" s="593"/>
    </row>
    <row r="31" spans="1:28" ht="18" customHeight="1">
      <c r="A31" s="611"/>
      <c r="B31" s="629"/>
      <c r="C31" s="630"/>
      <c r="D31" s="592"/>
      <c r="E31" s="592"/>
      <c r="F31" s="592"/>
      <c r="G31" s="600"/>
      <c r="H31" s="631"/>
      <c r="I31" s="630"/>
      <c r="J31" s="616"/>
      <c r="K31" s="600"/>
      <c r="L31" s="630"/>
      <c r="M31" s="592"/>
      <c r="N31" s="600"/>
      <c r="O31" s="592"/>
      <c r="P31" s="592"/>
      <c r="Q31" s="631"/>
      <c r="R31" s="630"/>
      <c r="S31" s="616"/>
      <c r="T31" s="629"/>
      <c r="U31" s="630"/>
      <c r="V31" s="592"/>
      <c r="W31" s="592"/>
      <c r="X31" s="592"/>
      <c r="Y31" s="592"/>
      <c r="Z31" s="631"/>
      <c r="AA31" s="630"/>
      <c r="AB31" s="593"/>
    </row>
    <row r="32" spans="1:28" ht="18" customHeight="1">
      <c r="A32" s="611"/>
      <c r="B32" s="629"/>
      <c r="C32" s="630"/>
      <c r="D32" s="592"/>
      <c r="E32" s="592"/>
      <c r="F32" s="592"/>
      <c r="G32" s="592"/>
      <c r="H32" s="631"/>
      <c r="I32" s="630"/>
      <c r="J32" s="616"/>
      <c r="K32" s="629"/>
      <c r="L32" s="630"/>
      <c r="M32" s="592"/>
      <c r="N32" s="592"/>
      <c r="O32" s="592"/>
      <c r="P32" s="592"/>
      <c r="Q32" s="631"/>
      <c r="R32" s="630"/>
      <c r="S32" s="616"/>
      <c r="T32" s="629"/>
      <c r="U32" s="630"/>
      <c r="V32" s="592"/>
      <c r="W32" s="592"/>
      <c r="X32" s="592"/>
      <c r="Y32" s="592"/>
      <c r="Z32" s="631"/>
      <c r="AA32" s="630"/>
      <c r="AB32" s="593"/>
    </row>
    <row r="33" spans="1:28" ht="18" customHeight="1">
      <c r="A33" s="611"/>
      <c r="B33" s="629"/>
      <c r="C33" s="630"/>
      <c r="D33" s="592"/>
      <c r="E33" s="592"/>
      <c r="F33" s="592"/>
      <c r="G33" s="592"/>
      <c r="H33" s="631"/>
      <c r="I33" s="630"/>
      <c r="J33" s="616"/>
      <c r="K33" s="629"/>
      <c r="L33" s="630"/>
      <c r="M33" s="592"/>
      <c r="N33" s="592"/>
      <c r="O33" s="592"/>
      <c r="P33" s="592"/>
      <c r="Q33" s="631"/>
      <c r="R33" s="630"/>
      <c r="S33" s="616"/>
      <c r="T33" s="629"/>
      <c r="U33" s="630"/>
      <c r="V33" s="592"/>
      <c r="W33" s="592"/>
      <c r="X33" s="592"/>
      <c r="Y33" s="592"/>
      <c r="Z33" s="631"/>
      <c r="AA33" s="630"/>
      <c r="AB33" s="593"/>
    </row>
    <row r="34" spans="1:28" ht="18" customHeight="1">
      <c r="A34" s="611"/>
      <c r="B34" s="616"/>
      <c r="C34" s="592"/>
      <c r="D34" s="592"/>
      <c r="E34" s="592"/>
      <c r="F34" s="592"/>
      <c r="G34" s="592"/>
      <c r="H34" s="592"/>
      <c r="I34" s="592"/>
      <c r="J34" s="616"/>
      <c r="K34" s="616"/>
      <c r="L34" s="592"/>
      <c r="M34" s="592"/>
      <c r="N34" s="592"/>
      <c r="O34" s="592"/>
      <c r="P34" s="592"/>
      <c r="Q34" s="592"/>
      <c r="R34" s="592"/>
      <c r="S34" s="616"/>
      <c r="T34" s="616"/>
      <c r="U34" s="592"/>
      <c r="V34" s="592"/>
      <c r="W34" s="592"/>
      <c r="X34" s="592"/>
      <c r="Y34" s="592"/>
      <c r="Z34" s="592"/>
      <c r="AA34" s="592"/>
      <c r="AB34" s="593"/>
    </row>
    <row r="35" spans="1:28" s="604" customFormat="1" ht="18" customHeight="1" thickBot="1">
      <c r="A35" s="601"/>
      <c r="B35" s="654" t="s">
        <v>909</v>
      </c>
      <c r="C35" s="654"/>
      <c r="D35" s="654"/>
      <c r="E35" s="654"/>
      <c r="F35" s="654"/>
      <c r="G35" s="654"/>
      <c r="H35" s="654"/>
      <c r="I35" s="654"/>
      <c r="J35" s="602"/>
      <c r="K35" s="653" t="s">
        <v>910</v>
      </c>
      <c r="L35" s="653"/>
      <c r="M35" s="653"/>
      <c r="N35" s="653"/>
      <c r="O35" s="653"/>
      <c r="P35" s="653"/>
      <c r="Q35" s="653"/>
      <c r="R35" s="653"/>
      <c r="S35" s="602"/>
      <c r="T35" s="652" t="s">
        <v>911</v>
      </c>
      <c r="U35" s="652"/>
      <c r="V35" s="652"/>
      <c r="W35" s="652"/>
      <c r="X35" s="652"/>
      <c r="Y35" s="652"/>
      <c r="Z35" s="652"/>
      <c r="AA35" s="652"/>
      <c r="AB35" s="603"/>
    </row>
    <row r="36" spans="1:28" ht="18" customHeight="1">
      <c r="A36" s="611"/>
      <c r="B36" s="606" t="s">
        <v>901</v>
      </c>
      <c r="C36" s="607" t="s">
        <v>902</v>
      </c>
      <c r="D36" s="608" t="s">
        <v>903</v>
      </c>
      <c r="E36" s="608" t="s">
        <v>904</v>
      </c>
      <c r="F36" s="608" t="s">
        <v>905</v>
      </c>
      <c r="G36" s="608" t="s">
        <v>906</v>
      </c>
      <c r="H36" s="608" t="s">
        <v>907</v>
      </c>
      <c r="I36" s="609" t="s">
        <v>908</v>
      </c>
      <c r="J36" s="610"/>
      <c r="K36" s="606" t="s">
        <v>901</v>
      </c>
      <c r="L36" s="607" t="s">
        <v>902</v>
      </c>
      <c r="M36" s="608" t="s">
        <v>903</v>
      </c>
      <c r="N36" s="608" t="s">
        <v>904</v>
      </c>
      <c r="O36" s="608" t="s">
        <v>905</v>
      </c>
      <c r="P36" s="608" t="s">
        <v>906</v>
      </c>
      <c r="Q36" s="608" t="s">
        <v>907</v>
      </c>
      <c r="R36" s="609" t="s">
        <v>908</v>
      </c>
      <c r="S36" s="610"/>
      <c r="T36" s="606" t="s">
        <v>901</v>
      </c>
      <c r="U36" s="607" t="s">
        <v>902</v>
      </c>
      <c r="V36" s="608" t="s">
        <v>903</v>
      </c>
      <c r="W36" s="608" t="s">
        <v>904</v>
      </c>
      <c r="X36" s="608" t="s">
        <v>905</v>
      </c>
      <c r="Y36" s="608" t="s">
        <v>906</v>
      </c>
      <c r="Z36" s="608" t="s">
        <v>907</v>
      </c>
      <c r="AA36" s="609" t="s">
        <v>908</v>
      </c>
      <c r="AB36" s="593"/>
    </row>
    <row r="37" spans="1:28" ht="18" customHeight="1">
      <c r="A37" s="611"/>
      <c r="B37" s="632">
        <f>IF(T28&gt;0,T28,T27+1)</f>
        <v>14</v>
      </c>
      <c r="C37" s="613">
        <f>IF($C$4=1,1,0)</f>
        <v>0</v>
      </c>
      <c r="D37" s="614">
        <f>IF($D$4=1,1,IF(C37&gt;0,C37+1,0))</f>
        <v>1</v>
      </c>
      <c r="E37" s="614">
        <f>IF($E$4=1,1,IF(D37&gt;0,D37+1,0))</f>
        <v>2</v>
      </c>
      <c r="F37" s="614">
        <f>IF($F$4=1,1,IF(E37&gt;0,E37+1,0))</f>
        <v>3</v>
      </c>
      <c r="G37" s="614">
        <f>IF($G$4=1,1,IF(F37&gt;0,F37+1,0))</f>
        <v>4</v>
      </c>
      <c r="H37" s="614">
        <f>IF($H$4=1,1,IF(G37&gt;0,G37+1,0))</f>
        <v>5</v>
      </c>
      <c r="I37" s="615">
        <f>IF($I$4=1,1,IF(H37&gt;0,H37+1,0))</f>
        <v>6</v>
      </c>
      <c r="J37" s="616"/>
      <c r="K37" s="617">
        <f>IF(B42&gt;0,B41+1,B41)</f>
        <v>18</v>
      </c>
      <c r="L37" s="613">
        <f>IF($L$4=1,1,0)</f>
        <v>0</v>
      </c>
      <c r="M37" s="614">
        <f>IF($M$4=1,1,IF(L37&gt;0,L37+1,0))</f>
        <v>0</v>
      </c>
      <c r="N37" s="614">
        <f>IF($N$4=1,1,IF(M37&gt;0,M37+1,0))</f>
        <v>0</v>
      </c>
      <c r="O37" s="614">
        <f>IF($O$4=1,1,IF(N37&gt;0,N37+1,0))</f>
        <v>1</v>
      </c>
      <c r="P37" s="614">
        <f>IF($P$4=1,1,IF(O37&gt;0,O37+1,0))</f>
        <v>2</v>
      </c>
      <c r="Q37" s="614">
        <f>IF($Q$4=1,1,IF(P37&gt;0,P37+1,0))</f>
        <v>3</v>
      </c>
      <c r="R37" s="615">
        <f>IF($R$4=1,1,IF(Q37&gt;0,Q37+1,0))</f>
        <v>4</v>
      </c>
      <c r="S37" s="616"/>
      <c r="T37" s="617">
        <f>IF(K42&gt;0,K41+1,K41)</f>
        <v>22</v>
      </c>
      <c r="U37" s="613">
        <f>IF($U$4=1,1,0)</f>
        <v>0</v>
      </c>
      <c r="V37" s="614">
        <f>IF($V$4=1,1,IF(U37&gt;0,U37+1,0))</f>
        <v>0</v>
      </c>
      <c r="W37" s="614">
        <f>IF($W$4=1,1,IF(V37&gt;0,V37+1,0))</f>
        <v>0</v>
      </c>
      <c r="X37" s="614">
        <f>IF($X$4=1,1,IF(W37&gt;0,W37+1,0))</f>
        <v>0</v>
      </c>
      <c r="Y37" s="614">
        <f>IF($Y$4=1,1,IF(X37&gt;0,X37+1,0))</f>
        <v>0</v>
      </c>
      <c r="Z37" s="614">
        <f>IF($Z$4=1,1,IF(Y37&gt;0,Y37+1,0))</f>
        <v>0</v>
      </c>
      <c r="AA37" s="615">
        <f>IF($AA$4=1,1,IF(Z37&gt;0,Z37+1,0))</f>
        <v>1</v>
      </c>
      <c r="AB37" s="593"/>
    </row>
    <row r="38" spans="1:28" ht="18" customHeight="1">
      <c r="A38" s="611"/>
      <c r="B38" s="617">
        <f>B37+1</f>
        <v>15</v>
      </c>
      <c r="C38" s="619">
        <f>IF(AND(I37&gt;0,I37&lt;30),I37+1,0)</f>
        <v>7</v>
      </c>
      <c r="D38" s="620">
        <f aca="true" t="shared" si="3" ref="D38:I42">IF(AND(C38&gt;0,C38&lt;30),C38+1,0)</f>
        <v>8</v>
      </c>
      <c r="E38" s="620">
        <f t="shared" si="3"/>
        <v>9</v>
      </c>
      <c r="F38" s="620">
        <f t="shared" si="3"/>
        <v>10</v>
      </c>
      <c r="G38" s="620">
        <f t="shared" si="3"/>
        <v>11</v>
      </c>
      <c r="H38" s="620">
        <f t="shared" si="3"/>
        <v>12</v>
      </c>
      <c r="I38" s="621">
        <f t="shared" si="3"/>
        <v>13</v>
      </c>
      <c r="J38" s="616"/>
      <c r="K38" s="617">
        <f>K37+1</f>
        <v>19</v>
      </c>
      <c r="L38" s="619">
        <f>IF(AND(R37&gt;0,R37&lt;31),R37+1,0)</f>
        <v>5</v>
      </c>
      <c r="M38" s="620">
        <f aca="true" t="shared" si="4" ref="M38:R42">IF(AND(L38&gt;0,L38&lt;31),L38+1,0)</f>
        <v>6</v>
      </c>
      <c r="N38" s="620">
        <f t="shared" si="4"/>
        <v>7</v>
      </c>
      <c r="O38" s="620">
        <f t="shared" si="4"/>
        <v>8</v>
      </c>
      <c r="P38" s="620">
        <f t="shared" si="4"/>
        <v>9</v>
      </c>
      <c r="Q38" s="620">
        <f t="shared" si="4"/>
        <v>10</v>
      </c>
      <c r="R38" s="621">
        <f t="shared" si="4"/>
        <v>11</v>
      </c>
      <c r="S38" s="616"/>
      <c r="T38" s="617">
        <f>T37+1</f>
        <v>23</v>
      </c>
      <c r="U38" s="619">
        <f>IF(AND(AA37&gt;0,AA37&lt;30),AA37+1,0)</f>
        <v>2</v>
      </c>
      <c r="V38" s="620">
        <f aca="true" t="shared" si="5" ref="V38:AA42">IF(AND(U38&gt;0,U38&lt;30),U38+1,0)</f>
        <v>3</v>
      </c>
      <c r="W38" s="620">
        <f t="shared" si="5"/>
        <v>4</v>
      </c>
      <c r="X38" s="620">
        <f t="shared" si="5"/>
        <v>5</v>
      </c>
      <c r="Y38" s="620">
        <f t="shared" si="5"/>
        <v>6</v>
      </c>
      <c r="Z38" s="620">
        <f t="shared" si="5"/>
        <v>7</v>
      </c>
      <c r="AA38" s="621">
        <f t="shared" si="5"/>
        <v>8</v>
      </c>
      <c r="AB38" s="593"/>
    </row>
    <row r="39" spans="1:28" ht="18" customHeight="1">
      <c r="A39" s="611"/>
      <c r="B39" s="617">
        <f>B38+1</f>
        <v>16</v>
      </c>
      <c r="C39" s="619">
        <f>IF(AND(I38&gt;0,I38&lt;30),I38+1,0)</f>
        <v>14</v>
      </c>
      <c r="D39" s="620">
        <f t="shared" si="3"/>
        <v>15</v>
      </c>
      <c r="E39" s="620">
        <f t="shared" si="3"/>
        <v>16</v>
      </c>
      <c r="F39" s="620">
        <f t="shared" si="3"/>
        <v>17</v>
      </c>
      <c r="G39" s="620">
        <f t="shared" si="3"/>
        <v>18</v>
      </c>
      <c r="H39" s="620">
        <f t="shared" si="3"/>
        <v>19</v>
      </c>
      <c r="I39" s="621">
        <f t="shared" si="3"/>
        <v>20</v>
      </c>
      <c r="J39" s="616"/>
      <c r="K39" s="617">
        <f>K38+1</f>
        <v>20</v>
      </c>
      <c r="L39" s="619">
        <f>IF(AND(R38&gt;0,R38&lt;31),R38+1,0)</f>
        <v>12</v>
      </c>
      <c r="M39" s="620">
        <f t="shared" si="4"/>
        <v>13</v>
      </c>
      <c r="N39" s="620">
        <f t="shared" si="4"/>
        <v>14</v>
      </c>
      <c r="O39" s="620">
        <f t="shared" si="4"/>
        <v>15</v>
      </c>
      <c r="P39" s="620">
        <f t="shared" si="4"/>
        <v>16</v>
      </c>
      <c r="Q39" s="620">
        <f t="shared" si="4"/>
        <v>17</v>
      </c>
      <c r="R39" s="621">
        <f t="shared" si="4"/>
        <v>18</v>
      </c>
      <c r="S39" s="616"/>
      <c r="T39" s="617">
        <f>T38+1</f>
        <v>24</v>
      </c>
      <c r="U39" s="619">
        <f>IF(AND(AA38&gt;0,AA38&lt;30),AA38+1,0)</f>
        <v>9</v>
      </c>
      <c r="V39" s="620">
        <f t="shared" si="5"/>
        <v>10</v>
      </c>
      <c r="W39" s="620">
        <f t="shared" si="5"/>
        <v>11</v>
      </c>
      <c r="X39" s="620">
        <f t="shared" si="5"/>
        <v>12</v>
      </c>
      <c r="Y39" s="620">
        <f t="shared" si="5"/>
        <v>13</v>
      </c>
      <c r="Z39" s="620">
        <f t="shared" si="5"/>
        <v>14</v>
      </c>
      <c r="AA39" s="621">
        <f t="shared" si="5"/>
        <v>15</v>
      </c>
      <c r="AB39" s="593"/>
    </row>
    <row r="40" spans="1:28" ht="18" customHeight="1">
      <c r="A40" s="611"/>
      <c r="B40" s="617">
        <f>B39+1</f>
        <v>17</v>
      </c>
      <c r="C40" s="619">
        <f>IF(AND(I39&gt;0,I39&lt;30),I39+1,0)</f>
        <v>21</v>
      </c>
      <c r="D40" s="620">
        <f t="shared" si="3"/>
        <v>22</v>
      </c>
      <c r="E40" s="620">
        <f t="shared" si="3"/>
        <v>23</v>
      </c>
      <c r="F40" s="620">
        <f t="shared" si="3"/>
        <v>24</v>
      </c>
      <c r="G40" s="620">
        <f t="shared" si="3"/>
        <v>25</v>
      </c>
      <c r="H40" s="620">
        <f t="shared" si="3"/>
        <v>26</v>
      </c>
      <c r="I40" s="621">
        <f t="shared" si="3"/>
        <v>27</v>
      </c>
      <c r="J40" s="616"/>
      <c r="K40" s="617">
        <f>K39+1</f>
        <v>21</v>
      </c>
      <c r="L40" s="619">
        <f>IF(AND(R39&gt;0,R39&lt;31),R39+1,0)</f>
        <v>19</v>
      </c>
      <c r="M40" s="620">
        <f t="shared" si="4"/>
        <v>20</v>
      </c>
      <c r="N40" s="620">
        <f t="shared" si="4"/>
        <v>21</v>
      </c>
      <c r="O40" s="620">
        <f t="shared" si="4"/>
        <v>22</v>
      </c>
      <c r="P40" s="620">
        <f t="shared" si="4"/>
        <v>23</v>
      </c>
      <c r="Q40" s="620">
        <f t="shared" si="4"/>
        <v>24</v>
      </c>
      <c r="R40" s="621">
        <f t="shared" si="4"/>
        <v>25</v>
      </c>
      <c r="S40" s="616"/>
      <c r="T40" s="617">
        <f>T39+1</f>
        <v>25</v>
      </c>
      <c r="U40" s="619">
        <f>IF(AND(AA39&gt;0,AA39&lt;30),AA39+1,0)</f>
        <v>16</v>
      </c>
      <c r="V40" s="620">
        <f t="shared" si="5"/>
        <v>17</v>
      </c>
      <c r="W40" s="620">
        <f t="shared" si="5"/>
        <v>18</v>
      </c>
      <c r="X40" s="620">
        <f t="shared" si="5"/>
        <v>19</v>
      </c>
      <c r="Y40" s="620">
        <f t="shared" si="5"/>
        <v>20</v>
      </c>
      <c r="Z40" s="620">
        <f t="shared" si="5"/>
        <v>21</v>
      </c>
      <c r="AA40" s="621">
        <f t="shared" si="5"/>
        <v>22</v>
      </c>
      <c r="AB40" s="593"/>
    </row>
    <row r="41" spans="1:28" ht="18" customHeight="1">
      <c r="A41" s="611"/>
      <c r="B41" s="617">
        <f>B40+1</f>
        <v>18</v>
      </c>
      <c r="C41" s="619">
        <f>IF(AND(I40&gt;0,I40&lt;30),I40+1,0)</f>
        <v>28</v>
      </c>
      <c r="D41" s="620">
        <f t="shared" si="3"/>
        <v>29</v>
      </c>
      <c r="E41" s="620">
        <f t="shared" si="3"/>
        <v>30</v>
      </c>
      <c r="F41" s="620">
        <f t="shared" si="3"/>
        <v>0</v>
      </c>
      <c r="G41" s="620">
        <f t="shared" si="3"/>
        <v>0</v>
      </c>
      <c r="H41" s="620">
        <f t="shared" si="3"/>
        <v>0</v>
      </c>
      <c r="I41" s="621">
        <f t="shared" si="3"/>
        <v>0</v>
      </c>
      <c r="J41" s="616"/>
      <c r="K41" s="617">
        <f>K40+1</f>
        <v>22</v>
      </c>
      <c r="L41" s="619">
        <f>IF(AND(R40&gt;0,R40&lt;31),R40+1,0)</f>
        <v>26</v>
      </c>
      <c r="M41" s="620">
        <f t="shared" si="4"/>
        <v>27</v>
      </c>
      <c r="N41" s="620">
        <f t="shared" si="4"/>
        <v>28</v>
      </c>
      <c r="O41" s="620">
        <f t="shared" si="4"/>
        <v>29</v>
      </c>
      <c r="P41" s="620">
        <f t="shared" si="4"/>
        <v>30</v>
      </c>
      <c r="Q41" s="620">
        <f t="shared" si="4"/>
        <v>31</v>
      </c>
      <c r="R41" s="621">
        <f t="shared" si="4"/>
        <v>0</v>
      </c>
      <c r="S41" s="616"/>
      <c r="T41" s="617">
        <f>T40+1</f>
        <v>26</v>
      </c>
      <c r="U41" s="619">
        <f>IF(AND(AA40&gt;0,AA40&lt;30),AA40+1,0)</f>
        <v>23</v>
      </c>
      <c r="V41" s="620">
        <f t="shared" si="5"/>
        <v>24</v>
      </c>
      <c r="W41" s="620">
        <f t="shared" si="5"/>
        <v>25</v>
      </c>
      <c r="X41" s="620">
        <f t="shared" si="5"/>
        <v>26</v>
      </c>
      <c r="Y41" s="620">
        <f t="shared" si="5"/>
        <v>27</v>
      </c>
      <c r="Z41" s="620">
        <f t="shared" si="5"/>
        <v>28</v>
      </c>
      <c r="AA41" s="621">
        <f t="shared" si="5"/>
        <v>29</v>
      </c>
      <c r="AB41" s="593"/>
    </row>
    <row r="42" spans="1:28" ht="18" customHeight="1" thickBot="1">
      <c r="A42" s="611"/>
      <c r="B42" s="627">
        <f>IF(C42=0,0,B41+1)</f>
        <v>0</v>
      </c>
      <c r="C42" s="624">
        <f>IF(AND(I41&gt;0,I41&lt;30),I41+1,0)</f>
        <v>0</v>
      </c>
      <c r="D42" s="625">
        <f t="shared" si="3"/>
        <v>0</v>
      </c>
      <c r="E42" s="625">
        <f t="shared" si="3"/>
        <v>0</v>
      </c>
      <c r="F42" s="625">
        <f t="shared" si="3"/>
        <v>0</v>
      </c>
      <c r="G42" s="625">
        <f t="shared" si="3"/>
        <v>0</v>
      </c>
      <c r="H42" s="625">
        <f t="shared" si="3"/>
        <v>0</v>
      </c>
      <c r="I42" s="626">
        <f t="shared" si="3"/>
        <v>0</v>
      </c>
      <c r="J42" s="616"/>
      <c r="K42" s="627">
        <f>IF(L42=0,0,K41+1)</f>
        <v>0</v>
      </c>
      <c r="L42" s="628">
        <f>IF(AND(R41&gt;0,R41&lt;31),R41+1,0)</f>
        <v>0</v>
      </c>
      <c r="M42" s="625">
        <f t="shared" si="4"/>
        <v>0</v>
      </c>
      <c r="N42" s="625">
        <f t="shared" si="4"/>
        <v>0</v>
      </c>
      <c r="O42" s="625">
        <f t="shared" si="4"/>
        <v>0</v>
      </c>
      <c r="P42" s="625">
        <f t="shared" si="4"/>
        <v>0</v>
      </c>
      <c r="Q42" s="625">
        <f t="shared" si="4"/>
        <v>0</v>
      </c>
      <c r="R42" s="626">
        <f t="shared" si="4"/>
        <v>0</v>
      </c>
      <c r="S42" s="616"/>
      <c r="T42" s="627">
        <f>IF(U42=0,0,T41+1)</f>
        <v>27</v>
      </c>
      <c r="U42" s="628">
        <f>IF(AND(AA41&gt;0,AA41&lt;30),AA41+1,0)</f>
        <v>30</v>
      </c>
      <c r="V42" s="625">
        <f t="shared" si="5"/>
        <v>0</v>
      </c>
      <c r="W42" s="625">
        <f t="shared" si="5"/>
        <v>0</v>
      </c>
      <c r="X42" s="625">
        <f t="shared" si="5"/>
        <v>0</v>
      </c>
      <c r="Y42" s="625">
        <f t="shared" si="5"/>
        <v>0</v>
      </c>
      <c r="Z42" s="625">
        <f t="shared" si="5"/>
        <v>0</v>
      </c>
      <c r="AA42" s="626">
        <f t="shared" si="5"/>
        <v>0</v>
      </c>
      <c r="AB42" s="593"/>
    </row>
    <row r="43" spans="1:28" ht="18" customHeight="1">
      <c r="A43" s="611"/>
      <c r="B43" s="633"/>
      <c r="C43" s="634"/>
      <c r="D43" s="635"/>
      <c r="E43" s="635"/>
      <c r="F43" s="635"/>
      <c r="G43" s="635"/>
      <c r="H43" s="635"/>
      <c r="I43" s="634"/>
      <c r="J43" s="616"/>
      <c r="K43" s="633"/>
      <c r="L43" s="634"/>
      <c r="M43" s="635"/>
      <c r="N43" s="635"/>
      <c r="O43" s="635"/>
      <c r="P43" s="635"/>
      <c r="Q43" s="635"/>
      <c r="R43" s="634"/>
      <c r="S43" s="616"/>
      <c r="T43" s="633"/>
      <c r="U43" s="634"/>
      <c r="V43" s="635"/>
      <c r="W43" s="635"/>
      <c r="X43" s="635"/>
      <c r="Y43" s="635"/>
      <c r="Z43" s="635"/>
      <c r="AA43" s="634"/>
      <c r="AB43" s="593"/>
    </row>
    <row r="44" spans="1:28" ht="18" customHeight="1">
      <c r="A44" s="611"/>
      <c r="B44" s="616"/>
      <c r="C44" s="592"/>
      <c r="D44" s="592"/>
      <c r="E44" s="592"/>
      <c r="F44" s="592"/>
      <c r="G44" s="592"/>
      <c r="H44" s="592"/>
      <c r="I44" s="592"/>
      <c r="J44" s="616"/>
      <c r="K44" s="616"/>
      <c r="L44" s="592"/>
      <c r="M44" s="592"/>
      <c r="N44" s="592"/>
      <c r="O44" s="592"/>
      <c r="P44" s="592"/>
      <c r="Q44" s="592"/>
      <c r="R44" s="592"/>
      <c r="S44" s="616"/>
      <c r="T44" s="616"/>
      <c r="U44" s="592"/>
      <c r="V44" s="592"/>
      <c r="W44" s="592"/>
      <c r="X44" s="592"/>
      <c r="Y44" s="592"/>
      <c r="Z44" s="592"/>
      <c r="AA44" s="592"/>
      <c r="AB44" s="593"/>
    </row>
    <row r="45" spans="1:28" ht="18" customHeight="1">
      <c r="A45" s="611"/>
      <c r="B45" s="616"/>
      <c r="C45" s="592"/>
      <c r="D45" s="592"/>
      <c r="E45" s="592"/>
      <c r="F45" s="592"/>
      <c r="G45" s="592"/>
      <c r="H45" s="592"/>
      <c r="I45" s="592"/>
      <c r="J45" s="616"/>
      <c r="K45" s="616"/>
      <c r="L45" s="592"/>
      <c r="M45" s="592"/>
      <c r="N45" s="600"/>
      <c r="O45" s="592"/>
      <c r="P45" s="592"/>
      <c r="Q45" s="592"/>
      <c r="R45" s="592"/>
      <c r="S45" s="616"/>
      <c r="T45" s="616"/>
      <c r="U45" s="592"/>
      <c r="V45" s="600"/>
      <c r="W45" s="592"/>
      <c r="X45" s="592"/>
      <c r="Y45" s="592"/>
      <c r="Z45" s="592"/>
      <c r="AA45" s="592"/>
      <c r="AB45" s="593"/>
    </row>
    <row r="46" spans="1:28" ht="18" customHeight="1">
      <c r="A46" s="611"/>
      <c r="B46" s="616"/>
      <c r="C46" s="592"/>
      <c r="D46" s="592"/>
      <c r="E46" s="600"/>
      <c r="F46" s="592"/>
      <c r="G46" s="592"/>
      <c r="H46" s="592"/>
      <c r="I46" s="592"/>
      <c r="J46" s="616"/>
      <c r="K46" s="616"/>
      <c r="L46" s="592"/>
      <c r="M46" s="592"/>
      <c r="N46" s="592"/>
      <c r="O46" s="592"/>
      <c r="P46" s="592"/>
      <c r="Q46" s="592"/>
      <c r="R46" s="592"/>
      <c r="S46" s="616"/>
      <c r="T46" s="616"/>
      <c r="U46" s="592"/>
      <c r="V46" s="592"/>
      <c r="W46" s="592"/>
      <c r="X46" s="592"/>
      <c r="Y46" s="592"/>
      <c r="Z46" s="592"/>
      <c r="AA46" s="592"/>
      <c r="AB46" s="593"/>
    </row>
    <row r="47" spans="1:28" ht="18" customHeight="1">
      <c r="A47" s="611"/>
      <c r="B47" s="616"/>
      <c r="C47" s="592"/>
      <c r="D47" s="592"/>
      <c r="E47" s="592"/>
      <c r="F47" s="592"/>
      <c r="G47" s="592"/>
      <c r="H47" s="592"/>
      <c r="I47" s="592"/>
      <c r="J47" s="616"/>
      <c r="K47" s="616"/>
      <c r="L47" s="592"/>
      <c r="M47" s="592"/>
      <c r="N47" s="592"/>
      <c r="O47" s="592"/>
      <c r="P47" s="592"/>
      <c r="Q47" s="592"/>
      <c r="R47" s="592"/>
      <c r="S47" s="616"/>
      <c r="T47" s="616"/>
      <c r="U47" s="592"/>
      <c r="V47" s="592"/>
      <c r="W47" s="592"/>
      <c r="X47" s="592"/>
      <c r="Y47" s="592"/>
      <c r="Z47" s="592"/>
      <c r="AA47" s="592"/>
      <c r="AB47" s="593"/>
    </row>
    <row r="48" spans="1:28" ht="18" customHeight="1">
      <c r="A48" s="611"/>
      <c r="B48" s="616"/>
      <c r="C48" s="592"/>
      <c r="D48" s="592"/>
      <c r="E48" s="592"/>
      <c r="F48" s="592"/>
      <c r="G48" s="592"/>
      <c r="H48" s="592"/>
      <c r="I48" s="592"/>
      <c r="J48" s="616"/>
      <c r="K48" s="616"/>
      <c r="L48" s="592"/>
      <c r="M48" s="592"/>
      <c r="N48" s="592"/>
      <c r="O48" s="592"/>
      <c r="P48" s="592"/>
      <c r="Q48" s="592"/>
      <c r="R48" s="592"/>
      <c r="S48" s="616"/>
      <c r="T48" s="616"/>
      <c r="U48" s="592"/>
      <c r="V48" s="592"/>
      <c r="W48" s="592"/>
      <c r="X48" s="592"/>
      <c r="Y48" s="592"/>
      <c r="Z48" s="592"/>
      <c r="AA48" s="592"/>
      <c r="AB48" s="593"/>
    </row>
    <row r="49" spans="1:28" s="604" customFormat="1" ht="18" customHeight="1" thickBot="1">
      <c r="A49" s="601"/>
      <c r="B49" s="652" t="s">
        <v>912</v>
      </c>
      <c r="C49" s="652"/>
      <c r="D49" s="652"/>
      <c r="E49" s="652"/>
      <c r="F49" s="652"/>
      <c r="G49" s="652"/>
      <c r="H49" s="652"/>
      <c r="I49" s="652"/>
      <c r="J49" s="602"/>
      <c r="K49" s="654" t="s">
        <v>913</v>
      </c>
      <c r="L49" s="654"/>
      <c r="M49" s="654"/>
      <c r="N49" s="654"/>
      <c r="O49" s="654"/>
      <c r="P49" s="654"/>
      <c r="Q49" s="654"/>
      <c r="R49" s="654"/>
      <c r="S49" s="602"/>
      <c r="T49" s="658" t="s">
        <v>914</v>
      </c>
      <c r="U49" s="658"/>
      <c r="V49" s="658"/>
      <c r="W49" s="658"/>
      <c r="X49" s="658"/>
      <c r="Y49" s="658"/>
      <c r="Z49" s="658"/>
      <c r="AA49" s="658"/>
      <c r="AB49" s="603"/>
    </row>
    <row r="50" spans="1:28" ht="18" customHeight="1">
      <c r="A50" s="611"/>
      <c r="B50" s="606" t="s">
        <v>901</v>
      </c>
      <c r="C50" s="607" t="s">
        <v>902</v>
      </c>
      <c r="D50" s="608" t="s">
        <v>903</v>
      </c>
      <c r="E50" s="608" t="s">
        <v>904</v>
      </c>
      <c r="F50" s="608" t="s">
        <v>905</v>
      </c>
      <c r="G50" s="608" t="s">
        <v>906</v>
      </c>
      <c r="H50" s="608" t="s">
        <v>907</v>
      </c>
      <c r="I50" s="609" t="s">
        <v>908</v>
      </c>
      <c r="J50" s="610"/>
      <c r="K50" s="606" t="s">
        <v>901</v>
      </c>
      <c r="L50" s="607" t="s">
        <v>902</v>
      </c>
      <c r="M50" s="608" t="s">
        <v>903</v>
      </c>
      <c r="N50" s="608" t="s">
        <v>904</v>
      </c>
      <c r="O50" s="608" t="s">
        <v>905</v>
      </c>
      <c r="P50" s="608" t="s">
        <v>906</v>
      </c>
      <c r="Q50" s="608" t="s">
        <v>907</v>
      </c>
      <c r="R50" s="609" t="s">
        <v>908</v>
      </c>
      <c r="S50" s="610"/>
      <c r="T50" s="606" t="s">
        <v>901</v>
      </c>
      <c r="U50" s="607" t="s">
        <v>902</v>
      </c>
      <c r="V50" s="608" t="s">
        <v>903</v>
      </c>
      <c r="W50" s="608" t="s">
        <v>904</v>
      </c>
      <c r="X50" s="608" t="s">
        <v>905</v>
      </c>
      <c r="Y50" s="608" t="s">
        <v>906</v>
      </c>
      <c r="Z50" s="608" t="s">
        <v>907</v>
      </c>
      <c r="AA50" s="609" t="s">
        <v>908</v>
      </c>
      <c r="AB50" s="593"/>
    </row>
    <row r="51" spans="1:28" ht="18" customHeight="1">
      <c r="A51" s="611"/>
      <c r="B51" s="632">
        <f>IF(T42&gt;0,T42,T41+1)</f>
        <v>27</v>
      </c>
      <c r="C51" s="613">
        <f>IF($C$5=1,1,0)</f>
        <v>0</v>
      </c>
      <c r="D51" s="614">
        <f>IF($D$5=1,1,IF(C51&gt;0,C51+1,0))</f>
        <v>1</v>
      </c>
      <c r="E51" s="614">
        <f>IF($E$5=1,1,IF(D51&gt;0,D51+1,0))</f>
        <v>2</v>
      </c>
      <c r="F51" s="614">
        <f>IF($F$5=1,1,IF(E51&gt;0,E51+1,0))</f>
        <v>3</v>
      </c>
      <c r="G51" s="614">
        <f>IF($G$5=1,1,IF(F51&gt;0,F51+1,0))</f>
        <v>4</v>
      </c>
      <c r="H51" s="614">
        <f>IF($H$5=1,1,IF(G51&gt;0,G51+1,0))</f>
        <v>5</v>
      </c>
      <c r="I51" s="615">
        <f>IF($I$5=1,1,IF(H51&gt;0,H51+1,0))</f>
        <v>6</v>
      </c>
      <c r="J51" s="616"/>
      <c r="K51" s="617">
        <f>IF(B56&gt;0,B55+1,B55)</f>
        <v>31</v>
      </c>
      <c r="L51" s="613">
        <f>IF($L$5=1,1,0)</f>
        <v>0</v>
      </c>
      <c r="M51" s="614">
        <f>IF($M$5=1,1,IF(L51&gt;0,L51+1,0))</f>
        <v>0</v>
      </c>
      <c r="N51" s="614">
        <f>IF($N$5=1,1,IF(M51&gt;0,M51+1,0))</f>
        <v>0</v>
      </c>
      <c r="O51" s="614">
        <f>IF($O$5=1,1,IF(N51&gt;0,N51+1,0))</f>
        <v>0</v>
      </c>
      <c r="P51" s="614">
        <f>IF($P$5=1,1,IF(O51&gt;0,O51+1,0))</f>
        <v>1</v>
      </c>
      <c r="Q51" s="614">
        <f>IF($Q$5=1,1,IF(P51&gt;0,P51+1,0))</f>
        <v>2</v>
      </c>
      <c r="R51" s="615">
        <f>IF($R$5=1,1,IF(Q51&gt;0,Q51+1,0))</f>
        <v>3</v>
      </c>
      <c r="S51" s="616"/>
      <c r="T51" s="617">
        <f>IF(K56&gt;0,K55+1,K55)</f>
        <v>35</v>
      </c>
      <c r="U51" s="613">
        <f>IF($U$5=1,1,0)</f>
        <v>1</v>
      </c>
      <c r="V51" s="614">
        <f>IF($V$5=1,1,IF(U51&gt;0,U51+1,0))</f>
        <v>2</v>
      </c>
      <c r="W51" s="614">
        <f>IF($W$5=1,1,IF(V51&gt;0,V51+1,0))</f>
        <v>3</v>
      </c>
      <c r="X51" s="614">
        <f>IF($X$5=1,1,IF(W51&gt;0,W51+1,0))</f>
        <v>4</v>
      </c>
      <c r="Y51" s="614">
        <f>IF($Y$5=1,1,IF(X51&gt;0,X51+1,0))</f>
        <v>5</v>
      </c>
      <c r="Z51" s="636">
        <f>IF($Z$5=1,1,IF(Y51&gt;0,Y51+1,0))</f>
        <v>6</v>
      </c>
      <c r="AA51" s="615">
        <f>IF($AA$5=1,1,IF(Z51&gt;0,Z51+1,0))</f>
        <v>7</v>
      </c>
      <c r="AB51" s="593"/>
    </row>
    <row r="52" spans="1:28" ht="18" customHeight="1">
      <c r="A52" s="611"/>
      <c r="B52" s="617">
        <f>B51+1</f>
        <v>28</v>
      </c>
      <c r="C52" s="619">
        <f>IF(AND(I51&gt;0,I51&lt;31),I51+1,0)</f>
        <v>7</v>
      </c>
      <c r="D52" s="620">
        <f aca="true" t="shared" si="6" ref="D52:I56">IF(AND(C52&gt;0,C52&lt;31),C52+1,0)</f>
        <v>8</v>
      </c>
      <c r="E52" s="620">
        <f t="shared" si="6"/>
        <v>9</v>
      </c>
      <c r="F52" s="620">
        <f t="shared" si="6"/>
        <v>10</v>
      </c>
      <c r="G52" s="620">
        <f t="shared" si="6"/>
        <v>11</v>
      </c>
      <c r="H52" s="620">
        <f t="shared" si="6"/>
        <v>12</v>
      </c>
      <c r="I52" s="621">
        <f t="shared" si="6"/>
        <v>13</v>
      </c>
      <c r="J52" s="616"/>
      <c r="K52" s="617">
        <f>K51+1</f>
        <v>32</v>
      </c>
      <c r="L52" s="619">
        <f>IF(AND(R51&gt;0,R51&lt;31),R51+1,0)</f>
        <v>4</v>
      </c>
      <c r="M52" s="620">
        <f aca="true" t="shared" si="7" ref="M52:R56">IF(AND(L52&gt;0,L52&lt;31),L52+1,0)</f>
        <v>5</v>
      </c>
      <c r="N52" s="620">
        <f t="shared" si="7"/>
        <v>6</v>
      </c>
      <c r="O52" s="620">
        <f t="shared" si="7"/>
        <v>7</v>
      </c>
      <c r="P52" s="620">
        <f t="shared" si="7"/>
        <v>8</v>
      </c>
      <c r="Q52" s="620">
        <f t="shared" si="7"/>
        <v>9</v>
      </c>
      <c r="R52" s="621">
        <f t="shared" si="7"/>
        <v>10</v>
      </c>
      <c r="S52" s="616"/>
      <c r="T52" s="617">
        <f>T51+1</f>
        <v>36</v>
      </c>
      <c r="U52" s="619">
        <f>IF(AND(AA51&gt;0,AA51&lt;30),AA51+1,0)</f>
        <v>8</v>
      </c>
      <c r="V52" s="620">
        <f aca="true" t="shared" si="8" ref="V52:AA56">IF(AND(U52&gt;0,U52&lt;30),U52+1,0)</f>
        <v>9</v>
      </c>
      <c r="W52" s="620">
        <f t="shared" si="8"/>
        <v>10</v>
      </c>
      <c r="X52" s="620">
        <f t="shared" si="8"/>
        <v>11</v>
      </c>
      <c r="Y52" s="620">
        <f t="shared" si="8"/>
        <v>12</v>
      </c>
      <c r="Z52" s="637">
        <f t="shared" si="8"/>
        <v>13</v>
      </c>
      <c r="AA52" s="621">
        <f t="shared" si="8"/>
        <v>14</v>
      </c>
      <c r="AB52" s="593"/>
    </row>
    <row r="53" spans="1:28" ht="18" customHeight="1">
      <c r="A53" s="611"/>
      <c r="B53" s="617">
        <f>B52+1</f>
        <v>29</v>
      </c>
      <c r="C53" s="619">
        <f>IF(AND(I52&gt;0,I52&lt;31),I52+1,0)</f>
        <v>14</v>
      </c>
      <c r="D53" s="620">
        <f t="shared" si="6"/>
        <v>15</v>
      </c>
      <c r="E53" s="620">
        <f t="shared" si="6"/>
        <v>16</v>
      </c>
      <c r="F53" s="620">
        <f t="shared" si="6"/>
        <v>17</v>
      </c>
      <c r="G53" s="620">
        <f t="shared" si="6"/>
        <v>18</v>
      </c>
      <c r="H53" s="620">
        <f t="shared" si="6"/>
        <v>19</v>
      </c>
      <c r="I53" s="621">
        <f t="shared" si="6"/>
        <v>20</v>
      </c>
      <c r="J53" s="616"/>
      <c r="K53" s="617">
        <f>K52+1</f>
        <v>33</v>
      </c>
      <c r="L53" s="619">
        <f>IF(AND(R52&gt;0,R52&lt;31),R52+1,0)</f>
        <v>11</v>
      </c>
      <c r="M53" s="620">
        <f t="shared" si="7"/>
        <v>12</v>
      </c>
      <c r="N53" s="620">
        <f t="shared" si="7"/>
        <v>13</v>
      </c>
      <c r="O53" s="620">
        <f t="shared" si="7"/>
        <v>14</v>
      </c>
      <c r="P53" s="620">
        <f t="shared" si="7"/>
        <v>15</v>
      </c>
      <c r="Q53" s="620">
        <f t="shared" si="7"/>
        <v>16</v>
      </c>
      <c r="R53" s="621">
        <f t="shared" si="7"/>
        <v>17</v>
      </c>
      <c r="S53" s="616"/>
      <c r="T53" s="617">
        <f>T52+1</f>
        <v>37</v>
      </c>
      <c r="U53" s="619">
        <f>IF(AND(AA52&gt;0,AA52&lt;30),AA52+1,0)</f>
        <v>15</v>
      </c>
      <c r="V53" s="620">
        <f t="shared" si="8"/>
        <v>16</v>
      </c>
      <c r="W53" s="620">
        <f t="shared" si="8"/>
        <v>17</v>
      </c>
      <c r="X53" s="620">
        <f t="shared" si="8"/>
        <v>18</v>
      </c>
      <c r="Y53" s="620">
        <f t="shared" si="8"/>
        <v>19</v>
      </c>
      <c r="Z53" s="637">
        <f t="shared" si="8"/>
        <v>20</v>
      </c>
      <c r="AA53" s="621">
        <f t="shared" si="8"/>
        <v>21</v>
      </c>
      <c r="AB53" s="593"/>
    </row>
    <row r="54" spans="1:28" ht="18" customHeight="1">
      <c r="A54" s="611"/>
      <c r="B54" s="617">
        <f>B53+1</f>
        <v>30</v>
      </c>
      <c r="C54" s="619">
        <f>IF(AND(I53&gt;0,I53&lt;31),I53+1,0)</f>
        <v>21</v>
      </c>
      <c r="D54" s="620">
        <f t="shared" si="6"/>
        <v>22</v>
      </c>
      <c r="E54" s="620">
        <f t="shared" si="6"/>
        <v>23</v>
      </c>
      <c r="F54" s="620">
        <f t="shared" si="6"/>
        <v>24</v>
      </c>
      <c r="G54" s="620">
        <f t="shared" si="6"/>
        <v>25</v>
      </c>
      <c r="H54" s="620">
        <f t="shared" si="6"/>
        <v>26</v>
      </c>
      <c r="I54" s="621">
        <f t="shared" si="6"/>
        <v>27</v>
      </c>
      <c r="J54" s="616"/>
      <c r="K54" s="617">
        <f>K53+1</f>
        <v>34</v>
      </c>
      <c r="L54" s="619">
        <f>IF(AND(R53&gt;0,R53&lt;31),R53+1,0)</f>
        <v>18</v>
      </c>
      <c r="M54" s="620">
        <f t="shared" si="7"/>
        <v>19</v>
      </c>
      <c r="N54" s="620">
        <f t="shared" si="7"/>
        <v>20</v>
      </c>
      <c r="O54" s="620">
        <f t="shared" si="7"/>
        <v>21</v>
      </c>
      <c r="P54" s="620">
        <f t="shared" si="7"/>
        <v>22</v>
      </c>
      <c r="Q54" s="620">
        <f t="shared" si="7"/>
        <v>23</v>
      </c>
      <c r="R54" s="621">
        <f t="shared" si="7"/>
        <v>24</v>
      </c>
      <c r="S54" s="616"/>
      <c r="T54" s="617">
        <f>T53+1</f>
        <v>38</v>
      </c>
      <c r="U54" s="619">
        <f>IF(AND(AA53&gt;0,AA53&lt;30),AA53+1,0)</f>
        <v>22</v>
      </c>
      <c r="V54" s="620">
        <f t="shared" si="8"/>
        <v>23</v>
      </c>
      <c r="W54" s="620">
        <f t="shared" si="8"/>
        <v>24</v>
      </c>
      <c r="X54" s="620">
        <f t="shared" si="8"/>
        <v>25</v>
      </c>
      <c r="Y54" s="620">
        <f t="shared" si="8"/>
        <v>26</v>
      </c>
      <c r="Z54" s="637">
        <f t="shared" si="8"/>
        <v>27</v>
      </c>
      <c r="AA54" s="621">
        <f t="shared" si="8"/>
        <v>28</v>
      </c>
      <c r="AB54" s="593"/>
    </row>
    <row r="55" spans="1:28" ht="18" customHeight="1">
      <c r="A55" s="611"/>
      <c r="B55" s="617">
        <f>B54+1</f>
        <v>31</v>
      </c>
      <c r="C55" s="619">
        <f>IF(AND(I54&gt;0,I54&lt;31),I54+1,0)</f>
        <v>28</v>
      </c>
      <c r="D55" s="620">
        <f t="shared" si="6"/>
        <v>29</v>
      </c>
      <c r="E55" s="620">
        <f t="shared" si="6"/>
        <v>30</v>
      </c>
      <c r="F55" s="620">
        <f t="shared" si="6"/>
        <v>31</v>
      </c>
      <c r="G55" s="620">
        <f t="shared" si="6"/>
        <v>0</v>
      </c>
      <c r="H55" s="620">
        <f t="shared" si="6"/>
        <v>0</v>
      </c>
      <c r="I55" s="621">
        <f t="shared" si="6"/>
        <v>0</v>
      </c>
      <c r="J55" s="616"/>
      <c r="K55" s="617">
        <f>K54+1</f>
        <v>35</v>
      </c>
      <c r="L55" s="619">
        <f>IF(AND(R54&gt;0,R54&lt;31),R54+1,0)</f>
        <v>25</v>
      </c>
      <c r="M55" s="620">
        <f t="shared" si="7"/>
        <v>26</v>
      </c>
      <c r="N55" s="620">
        <f t="shared" si="7"/>
        <v>27</v>
      </c>
      <c r="O55" s="620">
        <f t="shared" si="7"/>
        <v>28</v>
      </c>
      <c r="P55" s="620">
        <f t="shared" si="7"/>
        <v>29</v>
      </c>
      <c r="Q55" s="620">
        <f t="shared" si="7"/>
        <v>30</v>
      </c>
      <c r="R55" s="621">
        <f t="shared" si="7"/>
        <v>31</v>
      </c>
      <c r="S55" s="616"/>
      <c r="T55" s="617">
        <f>T54+1</f>
        <v>39</v>
      </c>
      <c r="U55" s="619">
        <f>IF(AND(AA54&gt;0,AA54&lt;30),AA54+1,0)</f>
        <v>29</v>
      </c>
      <c r="V55" s="620">
        <f t="shared" si="8"/>
        <v>30</v>
      </c>
      <c r="W55" s="620">
        <f t="shared" si="8"/>
        <v>0</v>
      </c>
      <c r="X55" s="620">
        <f t="shared" si="8"/>
        <v>0</v>
      </c>
      <c r="Y55" s="620">
        <f t="shared" si="8"/>
        <v>0</v>
      </c>
      <c r="Z55" s="637">
        <f t="shared" si="8"/>
        <v>0</v>
      </c>
      <c r="AA55" s="621">
        <f t="shared" si="8"/>
        <v>0</v>
      </c>
      <c r="AB55" s="593"/>
    </row>
    <row r="56" spans="1:28" ht="18" customHeight="1" thickBot="1">
      <c r="A56" s="611"/>
      <c r="B56" s="627">
        <f>IF(C56=0,0,B55+1)</f>
        <v>0</v>
      </c>
      <c r="C56" s="624">
        <f>IF(AND(I55&gt;0,I55&lt;31),I55+1,0)</f>
        <v>0</v>
      </c>
      <c r="D56" s="625">
        <f t="shared" si="6"/>
        <v>0</v>
      </c>
      <c r="E56" s="625">
        <f t="shared" si="6"/>
        <v>0</v>
      </c>
      <c r="F56" s="625">
        <f t="shared" si="6"/>
        <v>0</v>
      </c>
      <c r="G56" s="625">
        <f t="shared" si="6"/>
        <v>0</v>
      </c>
      <c r="H56" s="625">
        <f t="shared" si="6"/>
        <v>0</v>
      </c>
      <c r="I56" s="626">
        <f t="shared" si="6"/>
        <v>0</v>
      </c>
      <c r="J56" s="616"/>
      <c r="K56" s="627">
        <f>IF(L56=0,0,K55+1)</f>
        <v>0</v>
      </c>
      <c r="L56" s="628">
        <f>IF(AND(R55&gt;0,R55&lt;31),R55+1,0)</f>
        <v>0</v>
      </c>
      <c r="M56" s="625">
        <f t="shared" si="7"/>
        <v>0</v>
      </c>
      <c r="N56" s="625">
        <f t="shared" si="7"/>
        <v>0</v>
      </c>
      <c r="O56" s="625">
        <f t="shared" si="7"/>
        <v>0</v>
      </c>
      <c r="P56" s="625">
        <f t="shared" si="7"/>
        <v>0</v>
      </c>
      <c r="Q56" s="625">
        <f t="shared" si="7"/>
        <v>0</v>
      </c>
      <c r="R56" s="626">
        <f t="shared" si="7"/>
        <v>0</v>
      </c>
      <c r="S56" s="616"/>
      <c r="T56" s="627">
        <f>IF(U56=0,0,T55+1)</f>
        <v>0</v>
      </c>
      <c r="U56" s="628">
        <f>IF(AND(AA55&gt;0,AA55&lt;30),AA55+1,0)</f>
        <v>0</v>
      </c>
      <c r="V56" s="625">
        <f t="shared" si="8"/>
        <v>0</v>
      </c>
      <c r="W56" s="625">
        <f t="shared" si="8"/>
        <v>0</v>
      </c>
      <c r="X56" s="625">
        <f t="shared" si="8"/>
        <v>0</v>
      </c>
      <c r="Y56" s="625">
        <f t="shared" si="8"/>
        <v>0</v>
      </c>
      <c r="Z56" s="625">
        <f t="shared" si="8"/>
        <v>0</v>
      </c>
      <c r="AA56" s="626">
        <f t="shared" si="8"/>
        <v>0</v>
      </c>
      <c r="AB56" s="593"/>
    </row>
    <row r="57" spans="1:28" ht="18" customHeight="1">
      <c r="A57" s="611"/>
      <c r="B57" s="616"/>
      <c r="C57" s="592"/>
      <c r="D57" s="592"/>
      <c r="E57" s="592"/>
      <c r="F57" s="592"/>
      <c r="G57" s="592"/>
      <c r="H57" s="592"/>
      <c r="I57" s="592"/>
      <c r="J57" s="616"/>
      <c r="K57" s="616"/>
      <c r="L57" s="592"/>
      <c r="M57" s="592"/>
      <c r="N57" s="592"/>
      <c r="O57" s="592"/>
      <c r="P57" s="592"/>
      <c r="Q57" s="592"/>
      <c r="R57" s="592"/>
      <c r="S57" s="616"/>
      <c r="T57" s="616"/>
      <c r="U57" s="592"/>
      <c r="V57" s="592"/>
      <c r="W57" s="592"/>
      <c r="X57" s="592"/>
      <c r="Y57" s="592"/>
      <c r="Z57" s="592"/>
      <c r="AA57" s="592"/>
      <c r="AB57" s="593"/>
    </row>
    <row r="58" spans="1:28" ht="18" customHeight="1">
      <c r="A58" s="611"/>
      <c r="B58" s="616"/>
      <c r="C58" s="592"/>
      <c r="D58" s="592"/>
      <c r="E58" s="592"/>
      <c r="F58" s="592"/>
      <c r="G58" s="592"/>
      <c r="H58" s="592"/>
      <c r="I58" s="592"/>
      <c r="J58" s="616"/>
      <c r="K58" s="616"/>
      <c r="L58" s="592"/>
      <c r="M58" s="592"/>
      <c r="N58" s="592"/>
      <c r="O58" s="592"/>
      <c r="P58" s="592"/>
      <c r="Q58" s="592"/>
      <c r="R58" s="592"/>
      <c r="S58" s="616"/>
      <c r="T58" s="616"/>
      <c r="U58" s="592"/>
      <c r="V58" s="592"/>
      <c r="W58" s="592"/>
      <c r="X58" s="592"/>
      <c r="Y58" s="592"/>
      <c r="Z58" s="592"/>
      <c r="AA58" s="592"/>
      <c r="AB58" s="593"/>
    </row>
    <row r="59" spans="1:28" ht="18" customHeight="1">
      <c r="A59" s="611"/>
      <c r="B59" s="616"/>
      <c r="C59" s="592"/>
      <c r="D59" s="592"/>
      <c r="E59" s="600"/>
      <c r="F59" s="592"/>
      <c r="G59" s="592"/>
      <c r="H59" s="592"/>
      <c r="I59" s="600"/>
      <c r="J59" s="616"/>
      <c r="K59" s="616"/>
      <c r="L59" s="592"/>
      <c r="M59" s="592"/>
      <c r="N59" s="600"/>
      <c r="O59" s="592"/>
      <c r="P59" s="592"/>
      <c r="Q59" s="592"/>
      <c r="R59" s="592"/>
      <c r="S59" s="616"/>
      <c r="T59" s="616"/>
      <c r="U59" s="592"/>
      <c r="V59" s="600"/>
      <c r="W59" s="592"/>
      <c r="X59" s="592"/>
      <c r="Y59" s="592"/>
      <c r="Z59" s="592"/>
      <c r="AA59" s="592"/>
      <c r="AB59" s="593"/>
    </row>
    <row r="60" spans="1:28" ht="18" customHeight="1">
      <c r="A60" s="611"/>
      <c r="B60" s="616"/>
      <c r="C60" s="592"/>
      <c r="D60" s="592"/>
      <c r="E60" s="592"/>
      <c r="F60" s="592"/>
      <c r="G60" s="592"/>
      <c r="H60" s="592"/>
      <c r="I60" s="592"/>
      <c r="J60" s="616"/>
      <c r="K60" s="616"/>
      <c r="L60" s="592"/>
      <c r="M60" s="592"/>
      <c r="N60" s="592"/>
      <c r="O60" s="592"/>
      <c r="P60" s="592"/>
      <c r="Q60" s="592"/>
      <c r="R60" s="592"/>
      <c r="S60" s="616"/>
      <c r="T60" s="616"/>
      <c r="U60" s="592"/>
      <c r="V60" s="592"/>
      <c r="W60" s="592"/>
      <c r="X60" s="592"/>
      <c r="Y60" s="592"/>
      <c r="Z60" s="592"/>
      <c r="AA60" s="592"/>
      <c r="AB60" s="593"/>
    </row>
    <row r="61" spans="1:28" ht="18" customHeight="1">
      <c r="A61" s="611"/>
      <c r="B61" s="616"/>
      <c r="C61" s="592"/>
      <c r="D61" s="592"/>
      <c r="E61" s="592"/>
      <c r="F61" s="592"/>
      <c r="G61" s="592"/>
      <c r="H61" s="592"/>
      <c r="I61" s="592"/>
      <c r="J61" s="616"/>
      <c r="K61" s="616"/>
      <c r="L61" s="592"/>
      <c r="M61" s="592"/>
      <c r="N61" s="592"/>
      <c r="O61" s="592"/>
      <c r="P61" s="592"/>
      <c r="Q61" s="592"/>
      <c r="R61" s="592"/>
      <c r="S61" s="616"/>
      <c r="T61" s="616"/>
      <c r="U61" s="592"/>
      <c r="V61" s="592"/>
      <c r="W61" s="592"/>
      <c r="X61" s="592"/>
      <c r="Y61" s="592"/>
      <c r="Z61" s="592"/>
      <c r="AA61" s="592"/>
      <c r="AB61" s="593"/>
    </row>
    <row r="62" spans="1:28" ht="18" customHeight="1">
      <c r="A62" s="611"/>
      <c r="B62" s="616"/>
      <c r="C62" s="592"/>
      <c r="D62" s="592"/>
      <c r="E62" s="592"/>
      <c r="F62" s="592"/>
      <c r="G62" s="592"/>
      <c r="H62" s="592"/>
      <c r="I62" s="592"/>
      <c r="J62" s="616"/>
      <c r="K62" s="616"/>
      <c r="L62" s="592"/>
      <c r="M62" s="592"/>
      <c r="N62" s="592"/>
      <c r="O62" s="592"/>
      <c r="P62" s="592"/>
      <c r="Q62" s="592"/>
      <c r="R62" s="592"/>
      <c r="S62" s="616"/>
      <c r="T62" s="616"/>
      <c r="U62" s="592"/>
      <c r="V62" s="592"/>
      <c r="W62" s="592"/>
      <c r="X62" s="592"/>
      <c r="Y62" s="592"/>
      <c r="Z62" s="592"/>
      <c r="AA62" s="592"/>
      <c r="AB62" s="593"/>
    </row>
    <row r="63" spans="1:28" s="604" customFormat="1" ht="18" customHeight="1" thickBot="1">
      <c r="A63" s="601"/>
      <c r="B63" s="659" t="s">
        <v>915</v>
      </c>
      <c r="C63" s="659"/>
      <c r="D63" s="659"/>
      <c r="E63" s="659"/>
      <c r="F63" s="659"/>
      <c r="G63" s="659"/>
      <c r="H63" s="659"/>
      <c r="I63" s="659"/>
      <c r="J63" s="602"/>
      <c r="K63" s="652" t="s">
        <v>916</v>
      </c>
      <c r="L63" s="652"/>
      <c r="M63" s="652"/>
      <c r="N63" s="652"/>
      <c r="O63" s="652"/>
      <c r="P63" s="652"/>
      <c r="Q63" s="652"/>
      <c r="R63" s="652"/>
      <c r="S63" s="602"/>
      <c r="T63" s="654" t="s">
        <v>917</v>
      </c>
      <c r="U63" s="654"/>
      <c r="V63" s="654"/>
      <c r="W63" s="654"/>
      <c r="X63" s="654"/>
      <c r="Y63" s="654"/>
      <c r="Z63" s="654"/>
      <c r="AA63" s="654"/>
      <c r="AB63" s="603"/>
    </row>
    <row r="64" spans="1:28" ht="18" customHeight="1">
      <c r="A64" s="611"/>
      <c r="B64" s="606" t="s">
        <v>901</v>
      </c>
      <c r="C64" s="607" t="s">
        <v>902</v>
      </c>
      <c r="D64" s="608" t="s">
        <v>903</v>
      </c>
      <c r="E64" s="608" t="s">
        <v>904</v>
      </c>
      <c r="F64" s="608" t="s">
        <v>905</v>
      </c>
      <c r="G64" s="608" t="s">
        <v>906</v>
      </c>
      <c r="H64" s="608" t="s">
        <v>907</v>
      </c>
      <c r="I64" s="609" t="s">
        <v>908</v>
      </c>
      <c r="J64" s="610"/>
      <c r="K64" s="606" t="s">
        <v>901</v>
      </c>
      <c r="L64" s="607" t="s">
        <v>902</v>
      </c>
      <c r="M64" s="608" t="s">
        <v>903</v>
      </c>
      <c r="N64" s="608" t="s">
        <v>904</v>
      </c>
      <c r="O64" s="608" t="s">
        <v>905</v>
      </c>
      <c r="P64" s="608" t="s">
        <v>906</v>
      </c>
      <c r="Q64" s="608" t="s">
        <v>907</v>
      </c>
      <c r="R64" s="609" t="s">
        <v>908</v>
      </c>
      <c r="S64" s="610"/>
      <c r="T64" s="606" t="s">
        <v>901</v>
      </c>
      <c r="U64" s="607" t="s">
        <v>902</v>
      </c>
      <c r="V64" s="608" t="s">
        <v>903</v>
      </c>
      <c r="W64" s="608" t="s">
        <v>904</v>
      </c>
      <c r="X64" s="608" t="s">
        <v>905</v>
      </c>
      <c r="Y64" s="608" t="s">
        <v>906</v>
      </c>
      <c r="Z64" s="608" t="s">
        <v>907</v>
      </c>
      <c r="AA64" s="609" t="s">
        <v>908</v>
      </c>
      <c r="AB64" s="593"/>
    </row>
    <row r="65" spans="1:28" ht="18" customHeight="1">
      <c r="A65" s="611"/>
      <c r="B65" s="632">
        <f>IF(T56&gt;0,T56,T55+1)</f>
        <v>40</v>
      </c>
      <c r="C65" s="638">
        <f>IF($C$6=1,1,0)</f>
        <v>0</v>
      </c>
      <c r="D65" s="614">
        <f>IF($D$6=1,1,IF(C65&gt;0,C65+1,0))</f>
        <v>0</v>
      </c>
      <c r="E65" s="614">
        <f>IF($E$6=1,1,IF(D65&gt;0,D65+1,0))</f>
        <v>1</v>
      </c>
      <c r="F65" s="614">
        <f>IF($F$6=1,1,IF(E65&gt;0,E65+1,0))</f>
        <v>2</v>
      </c>
      <c r="G65" s="614">
        <f>IF($G$6=1,1,IF(F65&gt;0,F65+1,0))</f>
        <v>3</v>
      </c>
      <c r="H65" s="614">
        <f>IF($H$6=1,1,IF(G65&gt;0,G65+1,0))</f>
        <v>4</v>
      </c>
      <c r="I65" s="615">
        <f>IF($I$6=1,1,IF(H65&gt;0,H65+1,0))</f>
        <v>5</v>
      </c>
      <c r="J65" s="616"/>
      <c r="K65" s="617">
        <f>IF(B70&gt;0,B69+1,B69)</f>
        <v>44</v>
      </c>
      <c r="L65" s="613">
        <f>IF($L$6=1,1,0)</f>
        <v>0</v>
      </c>
      <c r="M65" s="614">
        <f>IF($M$6=1,1,IF(L65&gt;0,L65+1,0))</f>
        <v>0</v>
      </c>
      <c r="N65" s="614">
        <f>IF($N$6=1,1,IF(M65&gt;0,M65+1,0))</f>
        <v>0</v>
      </c>
      <c r="O65" s="614">
        <f>IF($O$6=1,1,IF(N65&gt;0,N65+1,0))</f>
        <v>0</v>
      </c>
      <c r="P65" s="614">
        <f>IF($P$6=1,1,IF(O65&gt;0,O65+1,0))</f>
        <v>0</v>
      </c>
      <c r="Q65" s="614">
        <f>IF($Q$6=1,1,IF(P65&gt;0,P65+1,0))</f>
        <v>1</v>
      </c>
      <c r="R65" s="615">
        <f>IF($R$6=1,1,IF(Q65&gt;0,Q65+1,0))</f>
        <v>2</v>
      </c>
      <c r="S65" s="616"/>
      <c r="T65" s="617">
        <f>IF(K70&gt;0,K69+1,K69)</f>
        <v>48</v>
      </c>
      <c r="U65" s="613">
        <f>IF($U$6=1,1,0)</f>
        <v>1</v>
      </c>
      <c r="V65" s="614">
        <f>IF($V$6=1,1,IF(U65&gt;0,U65+1,0))</f>
        <v>2</v>
      </c>
      <c r="W65" s="614">
        <f>IF($W$6=1,1,IF(V65&gt;0,V65+1,0))</f>
        <v>3</v>
      </c>
      <c r="X65" s="614">
        <f>IF($X$6=1,1,IF(W65&gt;0,W65+1,0))</f>
        <v>4</v>
      </c>
      <c r="Y65" s="614">
        <f>IF($Y$6=1,1,IF(X65&gt;0,X65+1,0))</f>
        <v>5</v>
      </c>
      <c r="Z65" s="639">
        <f>IF($Z$6=1,1,IF(Y65&gt;0,Y65+1,0))</f>
        <v>6</v>
      </c>
      <c r="AA65" s="615">
        <f>IF($AA$6=1,1,IF(Z65&gt;0,Z65+1,0))</f>
        <v>7</v>
      </c>
      <c r="AB65" s="593"/>
    </row>
    <row r="66" spans="1:28" ht="18" customHeight="1">
      <c r="A66" s="611"/>
      <c r="B66" s="617">
        <f>B65+1</f>
        <v>41</v>
      </c>
      <c r="C66" s="619">
        <f>IF(AND(I65&gt;0,I65&lt;31),I65+1,0)</f>
        <v>6</v>
      </c>
      <c r="D66" s="620">
        <f aca="true" t="shared" si="9" ref="D66:I70">IF(AND(C66&gt;0,C66&lt;31),C66+1,0)</f>
        <v>7</v>
      </c>
      <c r="E66" s="620">
        <f t="shared" si="9"/>
        <v>8</v>
      </c>
      <c r="F66" s="620">
        <f t="shared" si="9"/>
        <v>9</v>
      </c>
      <c r="G66" s="620">
        <f t="shared" si="9"/>
        <v>10</v>
      </c>
      <c r="H66" s="620">
        <f t="shared" si="9"/>
        <v>11</v>
      </c>
      <c r="I66" s="621">
        <f t="shared" si="9"/>
        <v>12</v>
      </c>
      <c r="J66" s="616"/>
      <c r="K66" s="617">
        <f>K65+1</f>
        <v>45</v>
      </c>
      <c r="L66" s="640">
        <f>IF(AND(R65&gt;0,R65&lt;30),R65+1,0)</f>
        <v>3</v>
      </c>
      <c r="M66" s="620">
        <f aca="true" t="shared" si="10" ref="M66:R70">IF(AND(L66&gt;0,L66&lt;30),L66+1,0)</f>
        <v>4</v>
      </c>
      <c r="N66" s="620">
        <f t="shared" si="10"/>
        <v>5</v>
      </c>
      <c r="O66" s="620">
        <f t="shared" si="10"/>
        <v>6</v>
      </c>
      <c r="P66" s="620">
        <f t="shared" si="10"/>
        <v>7</v>
      </c>
      <c r="Q66" s="620">
        <f t="shared" si="10"/>
        <v>8</v>
      </c>
      <c r="R66" s="621">
        <f t="shared" si="10"/>
        <v>9</v>
      </c>
      <c r="S66" s="616"/>
      <c r="T66" s="617">
        <f>T65+1</f>
        <v>49</v>
      </c>
      <c r="U66" s="619">
        <f>IF(AND(AA65&gt;0,AA65&lt;31),AA65+1,0)</f>
        <v>8</v>
      </c>
      <c r="V66" s="620">
        <f aca="true" t="shared" si="11" ref="V66:AA70">IF(AND(U66&gt;0,U66&lt;31),U66+1,0)</f>
        <v>9</v>
      </c>
      <c r="W66" s="620">
        <f t="shared" si="11"/>
        <v>10</v>
      </c>
      <c r="X66" s="620">
        <f t="shared" si="11"/>
        <v>11</v>
      </c>
      <c r="Y66" s="620">
        <f t="shared" si="11"/>
        <v>12</v>
      </c>
      <c r="Z66" s="641">
        <f t="shared" si="11"/>
        <v>13</v>
      </c>
      <c r="AA66" s="621">
        <f t="shared" si="11"/>
        <v>14</v>
      </c>
      <c r="AB66" s="593"/>
    </row>
    <row r="67" spans="1:28" ht="18" customHeight="1">
      <c r="A67" s="611"/>
      <c r="B67" s="617">
        <f>B66+1</f>
        <v>42</v>
      </c>
      <c r="C67" s="619">
        <f>IF(AND(I66&gt;0,I66&lt;31),I66+1,0)</f>
        <v>13</v>
      </c>
      <c r="D67" s="620">
        <f t="shared" si="9"/>
        <v>14</v>
      </c>
      <c r="E67" s="620">
        <f t="shared" si="9"/>
        <v>15</v>
      </c>
      <c r="F67" s="620">
        <f t="shared" si="9"/>
        <v>16</v>
      </c>
      <c r="G67" s="620">
        <f t="shared" si="9"/>
        <v>17</v>
      </c>
      <c r="H67" s="620">
        <f t="shared" si="9"/>
        <v>18</v>
      </c>
      <c r="I67" s="621">
        <f t="shared" si="9"/>
        <v>19</v>
      </c>
      <c r="J67" s="616"/>
      <c r="K67" s="617">
        <f>K66+1</f>
        <v>46</v>
      </c>
      <c r="L67" s="640">
        <f>IF(AND(R66&gt;0,R66&lt;30),R66+1,0)</f>
        <v>10</v>
      </c>
      <c r="M67" s="620">
        <f t="shared" si="10"/>
        <v>11</v>
      </c>
      <c r="N67" s="620">
        <f t="shared" si="10"/>
        <v>12</v>
      </c>
      <c r="O67" s="620">
        <f t="shared" si="10"/>
        <v>13</v>
      </c>
      <c r="P67" s="620">
        <f t="shared" si="10"/>
        <v>14</v>
      </c>
      <c r="Q67" s="620">
        <f t="shared" si="10"/>
        <v>15</v>
      </c>
      <c r="R67" s="621">
        <f t="shared" si="10"/>
        <v>16</v>
      </c>
      <c r="S67" s="616"/>
      <c r="T67" s="617">
        <f>T66+1</f>
        <v>50</v>
      </c>
      <c r="U67" s="619">
        <f>IF(AND(AA66&gt;0,AA66&lt;31),AA66+1,0)</f>
        <v>15</v>
      </c>
      <c r="V67" s="620">
        <f t="shared" si="11"/>
        <v>16</v>
      </c>
      <c r="W67" s="620">
        <f t="shared" si="11"/>
        <v>17</v>
      </c>
      <c r="X67" s="620">
        <f t="shared" si="11"/>
        <v>18</v>
      </c>
      <c r="Y67" s="620">
        <f t="shared" si="11"/>
        <v>19</v>
      </c>
      <c r="Z67" s="641">
        <f t="shared" si="11"/>
        <v>20</v>
      </c>
      <c r="AA67" s="621">
        <f t="shared" si="11"/>
        <v>21</v>
      </c>
      <c r="AB67" s="593"/>
    </row>
    <row r="68" spans="1:28" ht="18" customHeight="1">
      <c r="A68" s="611"/>
      <c r="B68" s="617">
        <f>B67+1</f>
        <v>43</v>
      </c>
      <c r="C68" s="619">
        <f>IF(AND(I67&gt;0,I67&lt;31),I67+1,0)</f>
        <v>20</v>
      </c>
      <c r="D68" s="620">
        <f t="shared" si="9"/>
        <v>21</v>
      </c>
      <c r="E68" s="620">
        <f t="shared" si="9"/>
        <v>22</v>
      </c>
      <c r="F68" s="620">
        <f t="shared" si="9"/>
        <v>23</v>
      </c>
      <c r="G68" s="620">
        <f t="shared" si="9"/>
        <v>24</v>
      </c>
      <c r="H68" s="620">
        <f t="shared" si="9"/>
        <v>25</v>
      </c>
      <c r="I68" s="621">
        <f t="shared" si="9"/>
        <v>26</v>
      </c>
      <c r="J68" s="616"/>
      <c r="K68" s="617">
        <f>K67+1</f>
        <v>47</v>
      </c>
      <c r="L68" s="640">
        <f>IF(AND(R67&gt;0,R67&lt;30),R67+1,0)</f>
        <v>17</v>
      </c>
      <c r="M68" s="620">
        <f t="shared" si="10"/>
        <v>18</v>
      </c>
      <c r="N68" s="620">
        <f t="shared" si="10"/>
        <v>19</v>
      </c>
      <c r="O68" s="620">
        <f t="shared" si="10"/>
        <v>20</v>
      </c>
      <c r="P68" s="620">
        <f t="shared" si="10"/>
        <v>21</v>
      </c>
      <c r="Q68" s="620">
        <f t="shared" si="10"/>
        <v>22</v>
      </c>
      <c r="R68" s="621">
        <f t="shared" si="10"/>
        <v>23</v>
      </c>
      <c r="S68" s="616"/>
      <c r="T68" s="617">
        <f>T67+1</f>
        <v>51</v>
      </c>
      <c r="U68" s="619">
        <f>IF(AND(AA67&gt;0,AA67&lt;31),AA67+1,0)</f>
        <v>22</v>
      </c>
      <c r="V68" s="620">
        <f t="shared" si="11"/>
        <v>23</v>
      </c>
      <c r="W68" s="620">
        <f t="shared" si="11"/>
        <v>24</v>
      </c>
      <c r="X68" s="620">
        <f t="shared" si="11"/>
        <v>25</v>
      </c>
      <c r="Y68" s="620">
        <f t="shared" si="11"/>
        <v>26</v>
      </c>
      <c r="Z68" s="641">
        <f t="shared" si="11"/>
        <v>27</v>
      </c>
      <c r="AA68" s="621">
        <f t="shared" si="11"/>
        <v>28</v>
      </c>
      <c r="AB68" s="593"/>
    </row>
    <row r="69" spans="1:28" ht="18" customHeight="1">
      <c r="A69" s="611"/>
      <c r="B69" s="617">
        <f>B68+1</f>
        <v>44</v>
      </c>
      <c r="C69" s="619">
        <f>IF(AND(I68&gt;0,I68&lt;31),I68+1,0)</f>
        <v>27</v>
      </c>
      <c r="D69" s="620">
        <f t="shared" si="9"/>
        <v>28</v>
      </c>
      <c r="E69" s="620">
        <f t="shared" si="9"/>
        <v>29</v>
      </c>
      <c r="F69" s="620">
        <f t="shared" si="9"/>
        <v>30</v>
      </c>
      <c r="G69" s="620">
        <f t="shared" si="9"/>
        <v>31</v>
      </c>
      <c r="H69" s="620">
        <f t="shared" si="9"/>
        <v>0</v>
      </c>
      <c r="I69" s="621">
        <f t="shared" si="9"/>
        <v>0</v>
      </c>
      <c r="J69" s="616"/>
      <c r="K69" s="617">
        <f>K68+1</f>
        <v>48</v>
      </c>
      <c r="L69" s="640">
        <f>IF(AND(R68&gt;0,R68&lt;30),R68+1,0)</f>
        <v>24</v>
      </c>
      <c r="M69" s="620">
        <f t="shared" si="10"/>
        <v>25</v>
      </c>
      <c r="N69" s="620">
        <f t="shared" si="10"/>
        <v>26</v>
      </c>
      <c r="O69" s="620">
        <f t="shared" si="10"/>
        <v>27</v>
      </c>
      <c r="P69" s="620">
        <f t="shared" si="10"/>
        <v>28</v>
      </c>
      <c r="Q69" s="620">
        <f t="shared" si="10"/>
        <v>29</v>
      </c>
      <c r="R69" s="621">
        <f t="shared" si="10"/>
        <v>30</v>
      </c>
      <c r="S69" s="616"/>
      <c r="T69" s="617">
        <f>T68+1</f>
        <v>52</v>
      </c>
      <c r="U69" s="619">
        <f>IF(AND(AA68&gt;0,AA68&lt;31),AA68+1,0)</f>
        <v>29</v>
      </c>
      <c r="V69" s="620">
        <f t="shared" si="11"/>
        <v>30</v>
      </c>
      <c r="W69" s="620">
        <f t="shared" si="11"/>
        <v>31</v>
      </c>
      <c r="X69" s="620">
        <f t="shared" si="11"/>
        <v>0</v>
      </c>
      <c r="Y69" s="620">
        <f t="shared" si="11"/>
        <v>0</v>
      </c>
      <c r="Z69" s="641">
        <f t="shared" si="11"/>
        <v>0</v>
      </c>
      <c r="AA69" s="621">
        <f t="shared" si="11"/>
        <v>0</v>
      </c>
      <c r="AB69" s="593"/>
    </row>
    <row r="70" spans="1:28" ht="18" customHeight="1" thickBot="1">
      <c r="A70" s="611"/>
      <c r="B70" s="627">
        <f>IF(C70=0,0,B69+1)</f>
        <v>0</v>
      </c>
      <c r="C70" s="628">
        <f>IF(AND(I69&gt;0,I69&lt;31),I69+1,0)</f>
        <v>0</v>
      </c>
      <c r="D70" s="625">
        <f t="shared" si="9"/>
        <v>0</v>
      </c>
      <c r="E70" s="625">
        <f t="shared" si="9"/>
        <v>0</v>
      </c>
      <c r="F70" s="625">
        <f t="shared" si="9"/>
        <v>0</v>
      </c>
      <c r="G70" s="625">
        <f t="shared" si="9"/>
        <v>0</v>
      </c>
      <c r="H70" s="625">
        <f t="shared" si="9"/>
        <v>0</v>
      </c>
      <c r="I70" s="626">
        <f t="shared" si="9"/>
        <v>0</v>
      </c>
      <c r="J70" s="616"/>
      <c r="K70" s="627">
        <f>IF(L70=0,0,K69+1)</f>
        <v>0</v>
      </c>
      <c r="L70" s="628">
        <f>IF(AND(R69&gt;0,R69&lt;30),R69+1,0)</f>
        <v>0</v>
      </c>
      <c r="M70" s="625">
        <f t="shared" si="10"/>
        <v>0</v>
      </c>
      <c r="N70" s="625">
        <f t="shared" si="10"/>
        <v>0</v>
      </c>
      <c r="O70" s="625">
        <f t="shared" si="10"/>
        <v>0</v>
      </c>
      <c r="P70" s="625">
        <f t="shared" si="10"/>
        <v>0</v>
      </c>
      <c r="Q70" s="625">
        <f t="shared" si="10"/>
        <v>0</v>
      </c>
      <c r="R70" s="626">
        <f t="shared" si="10"/>
        <v>0</v>
      </c>
      <c r="S70" s="616"/>
      <c r="T70" s="627">
        <f>IF(U70=0,0,T69+1)</f>
        <v>0</v>
      </c>
      <c r="U70" s="624">
        <f>IF(AND(AA69&gt;0,AA69&lt;31),AA69+1,0)</f>
        <v>0</v>
      </c>
      <c r="V70" s="625">
        <f t="shared" si="11"/>
        <v>0</v>
      </c>
      <c r="W70" s="625">
        <f t="shared" si="11"/>
        <v>0</v>
      </c>
      <c r="X70" s="625">
        <f t="shared" si="11"/>
        <v>0</v>
      </c>
      <c r="Y70" s="625">
        <f t="shared" si="11"/>
        <v>0</v>
      </c>
      <c r="Z70" s="625">
        <f t="shared" si="11"/>
        <v>0</v>
      </c>
      <c r="AA70" s="626">
        <f t="shared" si="11"/>
        <v>0</v>
      </c>
      <c r="AB70" s="593"/>
    </row>
    <row r="71" spans="1:28" ht="18" customHeight="1">
      <c r="A71" s="605"/>
      <c r="B71" s="592"/>
      <c r="C71" s="592"/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3"/>
    </row>
    <row r="72" spans="1:28" ht="18" customHeight="1" thickBot="1">
      <c r="A72" s="642"/>
      <c r="B72" s="643"/>
      <c r="C72" s="644"/>
      <c r="D72" s="645"/>
      <c r="E72" s="645"/>
      <c r="F72" s="645"/>
      <c r="G72" s="645"/>
      <c r="H72" s="645"/>
      <c r="I72" s="645"/>
      <c r="J72" s="645"/>
      <c r="K72" s="645"/>
      <c r="L72" s="645"/>
      <c r="M72" s="646"/>
      <c r="N72" s="647"/>
      <c r="O72" s="647"/>
      <c r="P72" s="643"/>
      <c r="Q72" s="643"/>
      <c r="R72" s="643"/>
      <c r="S72" s="643"/>
      <c r="T72" s="643"/>
      <c r="U72" s="643"/>
      <c r="V72" s="643"/>
      <c r="W72" s="643"/>
      <c r="X72" s="643"/>
      <c r="Y72" s="643"/>
      <c r="Z72" s="643"/>
      <c r="AA72" s="648"/>
      <c r="AB72" s="649"/>
    </row>
  </sheetData>
  <sheetProtection/>
  <mergeCells count="15">
    <mergeCell ref="B49:I49"/>
    <mergeCell ref="K49:R49"/>
    <mergeCell ref="T49:AA49"/>
    <mergeCell ref="T63:AA63"/>
    <mergeCell ref="K63:R63"/>
    <mergeCell ref="B63:I63"/>
    <mergeCell ref="T35:AA35"/>
    <mergeCell ref="K35:R35"/>
    <mergeCell ref="B35:I35"/>
    <mergeCell ref="I8:K8"/>
    <mergeCell ref="P12:Q12"/>
    <mergeCell ref="J12:O12"/>
    <mergeCell ref="B21:I21"/>
    <mergeCell ref="K21:R21"/>
    <mergeCell ref="T21:AA21"/>
  </mergeCells>
  <printOptions horizontalCentered="1" verticalCentered="1"/>
  <pageMargins left="0.2362204724409449" right="0.2755905511811024" top="0.25" bottom="0.2" header="0.25" footer="0.5"/>
  <pageSetup fitToHeight="1" fitToWidth="1" horizontalDpi="300" verticalDpi="300" orientation="portrait" paperSize="9" scale="76" r:id="rId2"/>
  <headerFooter alignWithMargins="0">
    <oddFooter>&amp;C&amp;"Trebuchet MS,Bold"&amp;10 Patni GE Confidential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tabColor indexed="20"/>
  </sheetPr>
  <dimension ref="B2:H24"/>
  <sheetViews>
    <sheetView showGridLines="0" showRowColHeaders="0" tabSelected="1" zoomScale="75" zoomScaleNormal="75" zoomScalePageLayoutView="0" workbookViewId="0" topLeftCell="A1">
      <selection activeCell="A38" sqref="A38"/>
    </sheetView>
  </sheetViews>
  <sheetFormatPr defaultColWidth="9.77734375" defaultRowHeight="15"/>
  <cols>
    <col min="1" max="1" width="7.77734375" style="0" customWidth="1"/>
    <col min="2" max="2" width="14.77734375" style="0" customWidth="1"/>
    <col min="3" max="3" width="9.77734375" style="0" customWidth="1"/>
    <col min="4" max="4" width="12.77734375" style="0" customWidth="1"/>
    <col min="5" max="7" width="9.77734375" style="0" customWidth="1"/>
    <col min="8" max="8" width="10.77734375" style="0" customWidth="1"/>
  </cols>
  <sheetData>
    <row r="1" ht="15.75" thickBot="1"/>
    <row r="2" spans="2:8" ht="24" thickTop="1">
      <c r="B2" s="7" t="s">
        <v>1047</v>
      </c>
      <c r="C2" s="25"/>
      <c r="D2" s="25"/>
      <c r="E2" s="25"/>
      <c r="F2" s="25"/>
      <c r="G2" s="25"/>
      <c r="H2" s="26"/>
    </row>
    <row r="3" spans="2:8" ht="15.75">
      <c r="B3" s="79" t="s">
        <v>1048</v>
      </c>
      <c r="C3" s="11"/>
      <c r="D3" s="11"/>
      <c r="E3" s="11"/>
      <c r="F3" s="11"/>
      <c r="G3" s="11"/>
      <c r="H3" s="13"/>
    </row>
    <row r="4" spans="2:8" ht="15">
      <c r="B4" s="53">
        <f>IF(D4="","",+D4)</f>
        <v>0.25</v>
      </c>
      <c r="C4" s="50" t="s">
        <v>90</v>
      </c>
      <c r="D4" s="3">
        <v>0.25</v>
      </c>
      <c r="E4" s="138">
        <f>IF(D4+D5+D6="","",TRUNC(B4))</f>
        <v>0</v>
      </c>
      <c r="F4" s="15" t="s">
        <v>90</v>
      </c>
      <c r="G4" s="38" t="s">
        <v>1049</v>
      </c>
      <c r="H4" s="17">
        <f>IF(D4+D5+D6="","",SIN(B7/180*PI()))</f>
        <v>0.004363309284746571</v>
      </c>
    </row>
    <row r="5" spans="2:8" ht="15">
      <c r="B5" s="53">
        <f>IF(D5="","",D5/60)</f>
      </c>
      <c r="C5" s="50" t="s">
        <v>111</v>
      </c>
      <c r="D5" s="3"/>
      <c r="E5" s="18">
        <f>IF(D4+D5+D6="","",TRUNC((B7-E4)*60))</f>
        <v>15</v>
      </c>
      <c r="F5" s="15" t="s">
        <v>111</v>
      </c>
      <c r="G5" s="38" t="s">
        <v>1050</v>
      </c>
      <c r="H5" s="17">
        <f>IF(D4+D5+D6="","",COS(B7/180*PI()))</f>
        <v>0.9999904807207345</v>
      </c>
    </row>
    <row r="6" spans="2:8" ht="15">
      <c r="B6" s="75">
        <f>IF(D6="","",D6/3600)</f>
      </c>
      <c r="C6" s="50" t="s">
        <v>112</v>
      </c>
      <c r="D6" s="3"/>
      <c r="E6" s="146">
        <f>IF(D4+D5+D6="","",((B7-E4)*60-E5)*60)</f>
        <v>0</v>
      </c>
      <c r="F6" s="15" t="s">
        <v>112</v>
      </c>
      <c r="G6" s="18"/>
      <c r="H6" s="134"/>
    </row>
    <row r="7" spans="2:8" ht="15">
      <c r="B7" s="53">
        <f>IF(D4+D5+D6="","",SUM(B4+B5+B6))</f>
        <v>0.25</v>
      </c>
      <c r="C7" s="15" t="s">
        <v>113</v>
      </c>
      <c r="D7" s="18"/>
      <c r="E7" s="18"/>
      <c r="F7" s="18"/>
      <c r="G7" s="38" t="s">
        <v>1051</v>
      </c>
      <c r="H7" s="17">
        <f>IF(D4+D5+D6="","",TAN(B7/180*PI()))</f>
        <v>0.004363350820701567</v>
      </c>
    </row>
    <row r="8" spans="2:8" ht="15">
      <c r="B8" s="36" t="s">
        <v>1052</v>
      </c>
      <c r="C8" s="18"/>
      <c r="D8" s="18"/>
      <c r="E8" s="18"/>
      <c r="F8" s="18"/>
      <c r="G8" s="38" t="s">
        <v>1053</v>
      </c>
      <c r="H8" s="17">
        <f>IF(D4+D5+D6="","",1/H7)</f>
        <v>229.1816636094399</v>
      </c>
    </row>
    <row r="9" spans="2:8" ht="15">
      <c r="B9" s="29"/>
      <c r="C9" s="38" t="s">
        <v>1054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1054</v>
      </c>
      <c r="D10" s="137"/>
      <c r="E10" s="18" t="s">
        <v>1055</v>
      </c>
      <c r="F10" s="18"/>
      <c r="G10" s="38" t="s">
        <v>1056</v>
      </c>
      <c r="H10" s="17">
        <f>IF(D4+D5+D6="","",1/H5)</f>
        <v>1.000009519369883</v>
      </c>
    </row>
    <row r="11" spans="2:8" ht="15">
      <c r="B11" s="143" t="s">
        <v>1057</v>
      </c>
      <c r="C11" s="18"/>
      <c r="D11" s="18"/>
      <c r="E11" s="18"/>
      <c r="F11" s="18"/>
      <c r="G11" s="38" t="s">
        <v>1058</v>
      </c>
      <c r="H11" s="17">
        <f>IF(D4+D5+D6="","",1/H4)</f>
        <v>229.18384527446622</v>
      </c>
    </row>
    <row r="12" spans="2:8" ht="15">
      <c r="B12" s="143" t="s">
        <v>1059</v>
      </c>
      <c r="C12" s="18"/>
      <c r="D12" s="142"/>
      <c r="E12" s="15"/>
      <c r="F12" s="18"/>
      <c r="G12" s="38"/>
      <c r="H12" s="17"/>
    </row>
    <row r="13" spans="2:8" ht="15">
      <c r="B13" s="143" t="s">
        <v>1060</v>
      </c>
      <c r="C13" s="18"/>
      <c r="D13" s="142"/>
      <c r="E13" s="15"/>
      <c r="F13" s="18"/>
      <c r="G13" s="38" t="s">
        <v>1061</v>
      </c>
      <c r="H13" s="17">
        <f>IF(D4+D5+D6="","",B7*0.0174532925199433)</f>
        <v>0.004363323129985825</v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1" max="21" width="9.77734375" style="0" customWidth="1"/>
    <col min="22" max="22" width="56.77734375" style="0" customWidth="1"/>
    <col min="23" max="24" width="26.6640625" style="0" customWidth="1"/>
    <col min="25" max="25" width="16.77734375" style="0" customWidth="1"/>
    <col min="26" max="26" width="9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24" t="s">
        <v>1062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1063</v>
      </c>
      <c r="T1" s="324"/>
      <c r="V1" t="s">
        <v>1064</v>
      </c>
      <c r="W1" t="s">
        <v>94</v>
      </c>
      <c r="X1" t="s">
        <v>95</v>
      </c>
      <c r="Y1" t="s">
        <v>1065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952</v>
      </c>
      <c r="L2" s="331" t="s">
        <v>953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1066</v>
      </c>
      <c r="V2" t="str">
        <f>IF(W2="","",W2&amp;" &lt;&lt;&lt;&gt;&gt;&gt; "&amp;X2)</f>
        <v>Abampere &lt;&lt;&lt;&gt;&gt;&gt; Ampere</v>
      </c>
      <c r="W2" t="s">
        <v>1067</v>
      </c>
      <c r="X2" t="s">
        <v>1068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954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1067</v>
      </c>
      <c r="X3" t="s">
        <v>1069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1070</v>
      </c>
      <c r="V4" t="str">
        <f t="shared" si="0"/>
        <v>Abampere &lt;&lt;&lt;&gt;&gt;&gt; Statamperes</v>
      </c>
      <c r="W4" t="s">
        <v>1067</v>
      </c>
      <c r="X4" t="s">
        <v>1071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1072</v>
      </c>
      <c r="V5" t="str">
        <f t="shared" si="0"/>
        <v>Abcoulomb &lt;&lt;&lt;&gt;&gt;&gt; Ampere - hours</v>
      </c>
      <c r="W5" t="s">
        <v>1073</v>
      </c>
      <c r="X5" t="s">
        <v>1074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1073</v>
      </c>
      <c r="X6" t="s">
        <v>1075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1076</v>
      </c>
      <c r="T7" s="324"/>
      <c r="V7" t="str">
        <f t="shared" si="0"/>
        <v>Abcoulomb &lt;&lt;&lt;&gt;&gt;&gt; Electronic charges</v>
      </c>
      <c r="W7" t="s">
        <v>1073</v>
      </c>
      <c r="X7" t="s">
        <v>1077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937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1066</v>
      </c>
      <c r="V8" t="str">
        <f t="shared" si="0"/>
        <v>Abcoulomb &lt;&lt;&lt;&gt;&gt;&gt; Faradays (chem)</v>
      </c>
      <c r="W8" t="s">
        <v>1073</v>
      </c>
      <c r="X8" t="s">
        <v>1078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1073</v>
      </c>
      <c r="X9" t="s">
        <v>1079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1080</v>
      </c>
      <c r="X10" t="s">
        <v>1081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1082</v>
      </c>
      <c r="T11" s="324"/>
      <c r="V11" t="str">
        <f t="shared" si="0"/>
        <v>Abfarads &lt;&lt;&lt;&gt;&gt;&gt; Microfarads</v>
      </c>
      <c r="W11" t="s">
        <v>1080</v>
      </c>
      <c r="X11" t="s">
        <v>1083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1066</v>
      </c>
      <c r="V12" t="str">
        <f t="shared" si="0"/>
        <v>Abfarads &lt;&lt;&lt;&gt;&gt;&gt; Statfarads</v>
      </c>
      <c r="W12" t="s">
        <v>1080</v>
      </c>
      <c r="X12" t="s">
        <v>1084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1085</v>
      </c>
      <c r="X13" t="s">
        <v>1086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922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1092</v>
      </c>
      <c r="X14" t="s">
        <v>1093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938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1088</v>
      </c>
      <c r="T15" s="324"/>
      <c r="V15" t="str">
        <f t="shared" si="0"/>
        <v>Acres &lt;&lt;&lt;&gt;&gt;&gt; Hectare or Square hectometer </v>
      </c>
      <c r="W15" t="s">
        <v>1095</v>
      </c>
      <c r="X15" t="s">
        <v>1087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1066</v>
      </c>
      <c r="V16" t="str">
        <f t="shared" si="0"/>
        <v>Acres &lt;&lt;&lt;&gt;&gt;&gt; Square Chain (Gunter's) </v>
      </c>
      <c r="W16" t="s">
        <v>1095</v>
      </c>
      <c r="X16" t="s">
        <v>1089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1095</v>
      </c>
      <c r="X17" t="s">
        <v>1096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920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1095</v>
      </c>
      <c r="X18" t="s">
        <v>645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926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1094</v>
      </c>
      <c r="T19" s="324"/>
      <c r="V19" t="str">
        <f t="shared" si="0"/>
        <v>Acres &lt;&lt;&lt;&gt;&gt;&gt; Square Kilometers</v>
      </c>
      <c r="W19" t="s">
        <v>1095</v>
      </c>
      <c r="X19" t="s">
        <v>646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933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1066</v>
      </c>
      <c r="V20" t="str">
        <f t="shared" si="0"/>
        <v>Acres &lt;&lt;&lt;&gt;&gt;&gt; Square Links (Gunter's) </v>
      </c>
      <c r="W20" t="s">
        <v>1095</v>
      </c>
      <c r="X20" t="s">
        <v>1090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939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1095</v>
      </c>
      <c r="X21" t="s">
        <v>1091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948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1097</v>
      </c>
      <c r="X22" t="s">
        <v>1098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929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1097</v>
      </c>
      <c r="X23" t="s">
        <v>1099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943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1103</v>
      </c>
      <c r="T24" s="324"/>
      <c r="V24" t="str">
        <f t="shared" si="0"/>
        <v>Acres  &lt;&lt;&lt;&gt;&gt;&gt; Square Yards </v>
      </c>
      <c r="W24" t="s">
        <v>1097</v>
      </c>
      <c r="X24" t="s">
        <v>1100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431</v>
      </c>
      <c r="T25" t="s">
        <v>1066</v>
      </c>
      <c r="V25" t="str">
        <f t="shared" si="0"/>
        <v>Ampere-hours  &lt;&lt;&lt;&gt;&gt;&gt; Coulombs </v>
      </c>
      <c r="W25" t="s">
        <v>1101</v>
      </c>
      <c r="X25" t="s">
        <v>1102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Kilograms </v>
      </c>
      <c r="T26" t="s">
        <v>94</v>
      </c>
      <c r="V26" t="str">
        <f t="shared" si="0"/>
        <v>Ampere-hours  &lt;&lt;&lt;&gt;&gt;&gt; Faradays </v>
      </c>
      <c r="W26" t="s">
        <v>1101</v>
      </c>
      <c r="X26" t="s">
        <v>1104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Pounds </v>
      </c>
      <c r="T27" t="s">
        <v>95</v>
      </c>
      <c r="V27" t="str">
        <f t="shared" si="0"/>
        <v>Ampere-turns  &lt;&lt;&lt;&gt;&gt;&gt; Gilberts </v>
      </c>
      <c r="W27" t="s">
        <v>1105</v>
      </c>
      <c r="X27" t="s">
        <v>1106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2.205</v>
      </c>
      <c r="T28" t="s">
        <v>1065</v>
      </c>
      <c r="V28" t="str">
        <f t="shared" si="0"/>
        <v>Atmospheres  &lt;&lt;&lt;&gt;&gt;&gt; Cms of Mercury </v>
      </c>
      <c r="W28" t="s">
        <v>1107</v>
      </c>
      <c r="X28" t="s">
        <v>1108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  <v>121.275</v>
      </c>
      <c r="T29" t="s">
        <v>1111</v>
      </c>
      <c r="V29" t="str">
        <f t="shared" si="0"/>
        <v>Atmospheres  &lt;&lt;&lt;&gt;&gt;&gt; Ft. of water (at 4 degrees C)</v>
      </c>
      <c r="W29" t="s">
        <v>1107</v>
      </c>
      <c r="X29" t="s">
        <v>1109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1113</v>
      </c>
      <c r="V30" t="str">
        <f t="shared" si="0"/>
        <v>Atmospheres  &lt;&lt;&lt;&gt;&gt;&gt; In. of Mercury (at 0 degrees C)</v>
      </c>
      <c r="W30" t="s">
        <v>1107</v>
      </c>
      <c r="X30" t="s">
        <v>1110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1107</v>
      </c>
      <c r="X31" t="s">
        <v>1112</v>
      </c>
      <c r="Y31">
        <v>1.0333</v>
      </c>
    </row>
    <row r="32" spans="1:25" ht="15">
      <c r="A32" s="338" t="s">
        <v>953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1107</v>
      </c>
      <c r="X32" t="s">
        <v>1114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1107</v>
      </c>
      <c r="X33" t="s">
        <v>1115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1107</v>
      </c>
      <c r="X34" t="s">
        <v>1116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1107</v>
      </c>
      <c r="X35" t="s">
        <v>1117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1118</v>
      </c>
      <c r="X36" t="s">
        <v>1119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1120</v>
      </c>
      <c r="X37" t="s">
        <v>1121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1120</v>
      </c>
      <c r="X38" t="s">
        <v>1122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1123</v>
      </c>
      <c r="X39" t="s">
        <v>1124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1123</v>
      </c>
      <c r="X40" t="s">
        <v>1125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1126</v>
      </c>
      <c r="X41" t="s">
        <v>1115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1127</v>
      </c>
      <c r="X42" t="s">
        <v>1107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1127</v>
      </c>
      <c r="X43" t="s">
        <v>1128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1127</v>
      </c>
      <c r="X44" t="s">
        <v>1114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1127</v>
      </c>
      <c r="X45" t="s">
        <v>1129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1130</v>
      </c>
      <c r="X46" t="s">
        <v>1131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918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1130</v>
      </c>
      <c r="X47" t="s">
        <v>1132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921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1130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924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1133</v>
      </c>
      <c r="X49" t="s">
        <v>1134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927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1133</v>
      </c>
      <c r="X50" t="s">
        <v>1135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930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1133</v>
      </c>
      <c r="X51" t="s">
        <v>1136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932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1133</v>
      </c>
      <c r="X52" t="s">
        <v>1137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935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1133</v>
      </c>
      <c r="X53" t="s">
        <v>1138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940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1133</v>
      </c>
      <c r="X54" t="s">
        <v>1139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942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1133</v>
      </c>
      <c r="X55" t="s">
        <v>1140</v>
      </c>
      <c r="Y55">
        <v>107.5</v>
      </c>
    </row>
    <row r="56" spans="1:25" ht="15">
      <c r="A56" s="338" t="s">
        <v>954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945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1133</v>
      </c>
      <c r="X56" t="s">
        <v>1141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947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1142</v>
      </c>
      <c r="X57" t="s">
        <v>227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950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1142</v>
      </c>
      <c r="X58" t="s">
        <v>228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1142</v>
      </c>
      <c r="X59" t="s">
        <v>1137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1142</v>
      </c>
      <c r="X60" t="s">
        <v>229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230</v>
      </c>
      <c r="X61" t="s">
        <v>231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230</v>
      </c>
      <c r="X62" t="s">
        <v>232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230</v>
      </c>
      <c r="X63" t="s">
        <v>233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230</v>
      </c>
      <c r="X64" t="s">
        <v>229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234</v>
      </c>
      <c r="X65" t="s">
        <v>235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236</v>
      </c>
      <c r="X66" t="s">
        <v>1093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236</v>
      </c>
      <c r="X67" t="s">
        <v>237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236</v>
      </c>
      <c r="X68" t="s">
        <v>238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236</v>
      </c>
      <c r="X69" t="s">
        <v>239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236</v>
      </c>
      <c r="X70" t="s">
        <v>240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236</v>
      </c>
      <c r="X71" t="s">
        <v>241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236</v>
      </c>
      <c r="X72" t="s">
        <v>1122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242</v>
      </c>
      <c r="X73" t="s">
        <v>243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242</v>
      </c>
      <c r="X74" t="s">
        <v>244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242</v>
      </c>
      <c r="X75" t="s">
        <v>245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242</v>
      </c>
      <c r="X76" t="s">
        <v>246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247</v>
      </c>
      <c r="X77" t="s">
        <v>248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249</v>
      </c>
      <c r="X78" t="s">
        <v>250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251</v>
      </c>
      <c r="X79" t="s">
        <v>250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252</v>
      </c>
      <c r="X80" t="s">
        <v>1098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253</v>
      </c>
      <c r="X81" t="s">
        <v>254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255</v>
      </c>
      <c r="X82" t="s">
        <v>256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257</v>
      </c>
      <c r="X83" t="s">
        <v>239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258</v>
      </c>
      <c r="X84" t="s">
        <v>259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258</v>
      </c>
      <c r="X85" t="s">
        <v>260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919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923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925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928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931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934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261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936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941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262</v>
      </c>
      <c r="X94" t="s">
        <v>1107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944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262</v>
      </c>
      <c r="X95" t="s">
        <v>263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946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262</v>
      </c>
      <c r="X96" t="s">
        <v>1114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949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262</v>
      </c>
      <c r="X97" t="s">
        <v>1129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262</v>
      </c>
      <c r="X98" t="s">
        <v>1115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264</v>
      </c>
      <c r="X99" t="s">
        <v>265</v>
      </c>
      <c r="Y99">
        <v>0.3937008</v>
      </c>
    </row>
    <row r="100" spans="2:25" ht="15">
      <c r="B100" s="339">
        <v>0.0748</v>
      </c>
      <c r="D100" s="1">
        <v>1.9</v>
      </c>
      <c r="F100" s="324" t="s">
        <v>269</v>
      </c>
      <c r="G100" s="324"/>
      <c r="I100" s="324" t="s">
        <v>269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266</v>
      </c>
      <c r="X100" t="s">
        <v>267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949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266</v>
      </c>
      <c r="X101" t="s">
        <v>268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946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270</v>
      </c>
      <c r="X102" t="s">
        <v>271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944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270</v>
      </c>
      <c r="X103" t="s">
        <v>272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941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270</v>
      </c>
      <c r="X104" t="s">
        <v>273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936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270</v>
      </c>
      <c r="X105" t="s">
        <v>274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934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270</v>
      </c>
      <c r="X106" t="s">
        <v>275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931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270</v>
      </c>
      <c r="X107" t="s">
        <v>276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928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270</v>
      </c>
      <c r="X108" t="s">
        <v>277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925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278</v>
      </c>
      <c r="X109" t="s">
        <v>279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923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278</v>
      </c>
      <c r="X110" t="s">
        <v>280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919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278</v>
      </c>
      <c r="X111" t="s">
        <v>281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278</v>
      </c>
      <c r="X112" t="s">
        <v>282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283</v>
      </c>
      <c r="X113" t="s">
        <v>284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285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285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286</v>
      </c>
      <c r="X116" t="s">
        <v>287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286</v>
      </c>
      <c r="X117" t="s">
        <v>288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286</v>
      </c>
      <c r="X118" t="s">
        <v>289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290</v>
      </c>
      <c r="X119" t="s">
        <v>1093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953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291</v>
      </c>
      <c r="X120" t="s">
        <v>292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291</v>
      </c>
      <c r="X121" t="s">
        <v>293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291</v>
      </c>
      <c r="X122" t="s">
        <v>237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291</v>
      </c>
      <c r="X123" t="s">
        <v>294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291</v>
      </c>
      <c r="X124" t="s">
        <v>295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291</v>
      </c>
      <c r="X125" t="s">
        <v>296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291</v>
      </c>
      <c r="X126" t="s">
        <v>297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291</v>
      </c>
      <c r="X127" t="s">
        <v>298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291</v>
      </c>
      <c r="X128" t="s">
        <v>299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291</v>
      </c>
      <c r="X129" t="s">
        <v>300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291</v>
      </c>
      <c r="X130" t="s">
        <v>301</v>
      </c>
      <c r="Y130">
        <v>0.001</v>
      </c>
    </row>
    <row r="131" spans="1:25" ht="15">
      <c r="A131" s="183" t="s">
        <v>937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291</v>
      </c>
      <c r="X131" t="s">
        <v>302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954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291</v>
      </c>
      <c r="X132" t="s">
        <v>303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1093</v>
      </c>
      <c r="X133" t="s">
        <v>304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1093</v>
      </c>
      <c r="X134" t="s">
        <v>305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1093</v>
      </c>
      <c r="X135" t="s">
        <v>237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1093</v>
      </c>
      <c r="X136" t="s">
        <v>238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1093</v>
      </c>
      <c r="X137" t="s">
        <v>306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1093</v>
      </c>
      <c r="X138" t="s">
        <v>307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1093</v>
      </c>
      <c r="X139" t="s">
        <v>239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950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1093</v>
      </c>
      <c r="X140" t="s">
        <v>308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947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1093</v>
      </c>
      <c r="X141" t="s">
        <v>309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945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310</v>
      </c>
      <c r="X142" t="s">
        <v>311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942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310</v>
      </c>
      <c r="X143" t="s">
        <v>312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940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313</v>
      </c>
      <c r="X144" t="s">
        <v>314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935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313</v>
      </c>
      <c r="X145" t="s">
        <v>315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932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313</v>
      </c>
      <c r="X146" t="s">
        <v>316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930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313</v>
      </c>
      <c r="X147" t="s">
        <v>317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927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318</v>
      </c>
      <c r="X148" t="s">
        <v>319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924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318</v>
      </c>
      <c r="X149" t="s">
        <v>320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921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237</v>
      </c>
      <c r="X150" t="s">
        <v>321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918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237</v>
      </c>
      <c r="X151" t="s">
        <v>305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237</v>
      </c>
      <c r="X152" t="s">
        <v>1093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237</v>
      </c>
      <c r="X153" t="s">
        <v>238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237</v>
      </c>
      <c r="X154" t="s">
        <v>322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237</v>
      </c>
      <c r="X155" t="s">
        <v>306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237</v>
      </c>
      <c r="X156" t="s">
        <v>1125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237</v>
      </c>
      <c r="X157" t="s">
        <v>323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237</v>
      </c>
      <c r="X158" t="s">
        <v>308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237</v>
      </c>
      <c r="X159" t="s">
        <v>324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238</v>
      </c>
      <c r="X160" t="s">
        <v>304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238</v>
      </c>
      <c r="X161" t="s">
        <v>305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238</v>
      </c>
      <c r="X162" t="s">
        <v>1093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238</v>
      </c>
      <c r="X163" t="s">
        <v>237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238</v>
      </c>
      <c r="X164" t="s">
        <v>306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238</v>
      </c>
      <c r="X165" t="s">
        <v>325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238</v>
      </c>
      <c r="X166" t="s">
        <v>307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238</v>
      </c>
      <c r="X167" t="s">
        <v>239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238</v>
      </c>
      <c r="X168" t="s">
        <v>308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937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238</v>
      </c>
      <c r="X169" t="s">
        <v>324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326</v>
      </c>
      <c r="X170" t="s">
        <v>327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326</v>
      </c>
      <c r="X171" t="s">
        <v>328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311</v>
      </c>
      <c r="X172" t="s">
        <v>310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311</v>
      </c>
      <c r="X173" t="s">
        <v>327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311</v>
      </c>
      <c r="X174" t="s">
        <v>328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306</v>
      </c>
      <c r="X175" t="s">
        <v>305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306</v>
      </c>
      <c r="X176" t="s">
        <v>1093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306</v>
      </c>
      <c r="X177" t="s">
        <v>237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306</v>
      </c>
      <c r="X178" t="s">
        <v>238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948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306</v>
      </c>
      <c r="X179" t="s">
        <v>307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943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306</v>
      </c>
      <c r="X180" t="s">
        <v>239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939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306</v>
      </c>
      <c r="X181" t="s">
        <v>308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933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306</v>
      </c>
      <c r="X182" t="s">
        <v>324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929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329</v>
      </c>
      <c r="X183" t="s">
        <v>315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926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329</v>
      </c>
      <c r="X184" t="s">
        <v>316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920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330</v>
      </c>
      <c r="X185" t="s">
        <v>331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332</v>
      </c>
      <c r="X186" t="s">
        <v>239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333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334</v>
      </c>
      <c r="X188" t="s">
        <v>335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334</v>
      </c>
      <c r="X189" t="s">
        <v>336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337</v>
      </c>
      <c r="X190" t="s">
        <v>254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338</v>
      </c>
      <c r="X191" t="s">
        <v>239</v>
      </c>
      <c r="Y191">
        <v>10</v>
      </c>
    </row>
    <row r="192" spans="1:25" ht="15">
      <c r="A192" s="183" t="s">
        <v>922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339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340</v>
      </c>
      <c r="X193" t="s">
        <v>341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340</v>
      </c>
      <c r="X194" t="s">
        <v>254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340</v>
      </c>
      <c r="X195" t="s">
        <v>342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343</v>
      </c>
      <c r="X196" t="s">
        <v>344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343</v>
      </c>
      <c r="X197" t="s">
        <v>345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346</v>
      </c>
      <c r="X198" t="s">
        <v>347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348</v>
      </c>
      <c r="X199" t="s">
        <v>349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350</v>
      </c>
      <c r="X200" t="s">
        <v>351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350</v>
      </c>
      <c r="X201" t="s">
        <v>352</v>
      </c>
      <c r="Y201">
        <v>2.95E-05</v>
      </c>
    </row>
    <row r="202" spans="1:25" ht="15">
      <c r="A202" s="183" t="s">
        <v>938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355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350</v>
      </c>
      <c r="X202" t="s">
        <v>353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354</v>
      </c>
      <c r="X203" t="s">
        <v>1107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922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354</v>
      </c>
      <c r="X204" t="s">
        <v>356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354</v>
      </c>
      <c r="X205" t="s">
        <v>357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358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952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358</v>
      </c>
      <c r="X207" t="s">
        <v>359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358</v>
      </c>
      <c r="X208" t="s">
        <v>360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938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358</v>
      </c>
      <c r="X209" t="s">
        <v>82</v>
      </c>
      <c r="Y209">
        <v>1.02E-06</v>
      </c>
    </row>
    <row r="210" spans="2:25" ht="15">
      <c r="B210" s="339">
        <v>0.234</v>
      </c>
      <c r="C210" s="340" t="s">
        <v>952</v>
      </c>
      <c r="F210" s="330">
        <v>0.221</v>
      </c>
      <c r="G210" s="331">
        <v>2</v>
      </c>
      <c r="I210" s="330">
        <v>0.2188</v>
      </c>
      <c r="J210" s="331" t="s">
        <v>938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358</v>
      </c>
      <c r="X210" t="s">
        <v>361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358</v>
      </c>
      <c r="X211" t="s">
        <v>362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952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358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363</v>
      </c>
      <c r="X213" t="s">
        <v>254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363</v>
      </c>
      <c r="X214" t="s">
        <v>364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922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363</v>
      </c>
      <c r="X215" t="s">
        <v>365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363</v>
      </c>
      <c r="X216" t="s">
        <v>366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355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367</v>
      </c>
      <c r="X217" t="s">
        <v>1126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368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368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369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369</v>
      </c>
      <c r="X221" t="s">
        <v>370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1134</v>
      </c>
      <c r="X222" t="s">
        <v>1133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1134</v>
      </c>
      <c r="X223" t="s">
        <v>1137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1134</v>
      </c>
      <c r="X224" t="s">
        <v>1138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1134</v>
      </c>
      <c r="X225" t="s">
        <v>1141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1134</v>
      </c>
      <c r="X226" t="s">
        <v>371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372</v>
      </c>
      <c r="X227" t="s">
        <v>230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372</v>
      </c>
      <c r="X228" t="s">
        <v>232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372</v>
      </c>
      <c r="X229" t="s">
        <v>233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373</v>
      </c>
      <c r="X230" t="s">
        <v>374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1104</v>
      </c>
      <c r="X231" t="s">
        <v>1101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1104</v>
      </c>
      <c r="X232" t="s">
        <v>1102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375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920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375</v>
      </c>
      <c r="X234" t="s">
        <v>376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926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929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933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939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377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943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378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948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261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263</v>
      </c>
      <c r="X242" t="s">
        <v>1107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263</v>
      </c>
      <c r="X243" t="s">
        <v>379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263</v>
      </c>
      <c r="X244" t="s">
        <v>1112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263</v>
      </c>
      <c r="X245" t="s">
        <v>1114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263</v>
      </c>
      <c r="X246" t="s">
        <v>1129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263</v>
      </c>
      <c r="X247" t="s">
        <v>1115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380</v>
      </c>
      <c r="X248" t="s">
        <v>381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380</v>
      </c>
      <c r="X249" t="s">
        <v>382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937</v>
      </c>
      <c r="V250" t="str">
        <f t="shared" si="3"/>
        <v>Feet per Hour &lt;&lt;&lt;&gt;&gt;&gt; Meters per Second</v>
      </c>
      <c r="W250" t="s">
        <v>380</v>
      </c>
      <c r="X250" t="s">
        <v>383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267</v>
      </c>
      <c r="X251" t="s">
        <v>266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267</v>
      </c>
      <c r="X252" t="s">
        <v>381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267</v>
      </c>
      <c r="X253" t="s">
        <v>382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267</v>
      </c>
      <c r="X254" t="s">
        <v>383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268</v>
      </c>
      <c r="X255" t="s">
        <v>266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268</v>
      </c>
      <c r="X256" t="s">
        <v>382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268</v>
      </c>
      <c r="X257" t="s">
        <v>383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271</v>
      </c>
      <c r="X258" t="s">
        <v>270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271</v>
      </c>
      <c r="X259" t="s">
        <v>272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271</v>
      </c>
      <c r="X260" t="s">
        <v>384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271</v>
      </c>
      <c r="X261" t="s">
        <v>275</v>
      </c>
      <c r="Y261">
        <v>0.3048</v>
      </c>
    </row>
    <row r="262" spans="2:25" ht="15">
      <c r="B262" s="339">
        <v>0.332</v>
      </c>
      <c r="C262" s="340" t="s">
        <v>920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271</v>
      </c>
      <c r="X262" t="s">
        <v>276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272</v>
      </c>
      <c r="X263" t="s">
        <v>270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272</v>
      </c>
      <c r="X264" t="s">
        <v>273</v>
      </c>
      <c r="Y264">
        <v>1.097</v>
      </c>
    </row>
    <row r="265" spans="2:25" ht="15">
      <c r="B265" s="339">
        <v>0.339</v>
      </c>
      <c r="C265" s="340" t="s">
        <v>926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272</v>
      </c>
      <c r="X265" t="s">
        <v>274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272</v>
      </c>
      <c r="X266" t="s">
        <v>275</v>
      </c>
      <c r="Y266">
        <v>18.29</v>
      </c>
    </row>
    <row r="267" spans="1:25" ht="15">
      <c r="A267" s="183" t="s">
        <v>929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272</v>
      </c>
      <c r="X267" t="s">
        <v>276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918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272</v>
      </c>
      <c r="X268" t="s">
        <v>277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921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279</v>
      </c>
      <c r="X269" t="s">
        <v>278</v>
      </c>
      <c r="Y269">
        <v>30.48</v>
      </c>
    </row>
    <row r="270" spans="2:25" ht="15">
      <c r="B270" s="339">
        <v>0.34800000000000003</v>
      </c>
      <c r="C270" s="340" t="s">
        <v>933</v>
      </c>
      <c r="F270" s="330">
        <v>0.75</v>
      </c>
      <c r="G270" s="331" t="s">
        <v>924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279</v>
      </c>
      <c r="X270" t="s">
        <v>280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927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279</v>
      </c>
      <c r="X271" t="s">
        <v>385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930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279</v>
      </c>
      <c r="X272" t="s">
        <v>282</v>
      </c>
      <c r="Y272">
        <v>0.6818</v>
      </c>
    </row>
    <row r="273" spans="2:25" ht="15">
      <c r="B273" s="339">
        <v>0.358</v>
      </c>
      <c r="C273" s="340" t="s">
        <v>939</v>
      </c>
      <c r="F273" s="330">
        <v>0.7969</v>
      </c>
      <c r="G273" s="331" t="s">
        <v>932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386</v>
      </c>
      <c r="X273" t="s">
        <v>387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935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386</v>
      </c>
      <c r="X274" t="s">
        <v>388</v>
      </c>
      <c r="Y274">
        <v>10.764</v>
      </c>
    </row>
    <row r="275" spans="1:25" ht="15">
      <c r="A275" s="183" t="s">
        <v>943</v>
      </c>
      <c r="B275" s="339">
        <v>0.3594</v>
      </c>
      <c r="F275" s="330">
        <v>0.8281</v>
      </c>
      <c r="G275" s="331" t="s">
        <v>940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389</v>
      </c>
      <c r="X275" t="s">
        <v>1133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942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389</v>
      </c>
      <c r="X276" t="s">
        <v>1134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945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389</v>
      </c>
      <c r="X277" t="s">
        <v>1136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947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389</v>
      </c>
      <c r="X278" t="s">
        <v>390</v>
      </c>
      <c r="Y278">
        <v>5.05E-07</v>
      </c>
    </row>
    <row r="279" spans="2:25" ht="15">
      <c r="B279" s="339">
        <v>0.368</v>
      </c>
      <c r="C279" s="340" t="s">
        <v>948</v>
      </c>
      <c r="F279" s="330">
        <v>0.8906</v>
      </c>
      <c r="G279" s="331" t="s">
        <v>950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389</v>
      </c>
      <c r="X279" t="s">
        <v>1138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389</v>
      </c>
      <c r="X280" t="s">
        <v>1139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389</v>
      </c>
      <c r="X281" t="s">
        <v>1141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391</v>
      </c>
      <c r="X282" t="s">
        <v>230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391</v>
      </c>
      <c r="X283" t="s">
        <v>227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391</v>
      </c>
      <c r="X284" t="s">
        <v>232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391</v>
      </c>
      <c r="X285" t="s">
        <v>233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227</v>
      </c>
      <c r="X286" t="s">
        <v>1142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954</v>
      </c>
      <c r="V287" t="str">
        <f t="shared" si="4"/>
        <v>Foot-pounds/Second  &lt;&lt;&lt;&gt;&gt;&gt; BTU/Minute </v>
      </c>
      <c r="W287" t="s">
        <v>227</v>
      </c>
      <c r="X287" t="s">
        <v>230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227</v>
      </c>
      <c r="X288" t="s">
        <v>232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227</v>
      </c>
      <c r="X289" t="s">
        <v>233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392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392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392</v>
      </c>
      <c r="X292" t="s">
        <v>393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325</v>
      </c>
      <c r="X293" t="s">
        <v>238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325</v>
      </c>
      <c r="X294" t="s">
        <v>239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394</v>
      </c>
      <c r="X295" t="s">
        <v>238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394</v>
      </c>
      <c r="X296" t="s">
        <v>239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395</v>
      </c>
      <c r="X297" t="s">
        <v>307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327</v>
      </c>
      <c r="X298" t="s">
        <v>326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953</v>
      </c>
      <c r="V299" t="str">
        <f t="shared" si="4"/>
        <v>Gallons (U.K. liquid) per Minute &lt;&lt;&lt;&gt;&gt;&gt; Cubic Meters per Second</v>
      </c>
      <c r="W299" t="s">
        <v>327</v>
      </c>
      <c r="X299" t="s">
        <v>311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328</v>
      </c>
      <c r="X300" t="s">
        <v>326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328</v>
      </c>
      <c r="X301" t="s">
        <v>311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328</v>
      </c>
      <c r="X302" t="s">
        <v>312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328</v>
      </c>
      <c r="X303" t="s">
        <v>396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397</v>
      </c>
      <c r="X304" t="s">
        <v>398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319</v>
      </c>
      <c r="X305" t="s">
        <v>399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319</v>
      </c>
      <c r="X306" t="s">
        <v>318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319</v>
      </c>
      <c r="X307" t="s">
        <v>316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919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1106</v>
      </c>
      <c r="X308" t="s">
        <v>1105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923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400</v>
      </c>
      <c r="X309" t="s">
        <v>401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925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400</v>
      </c>
      <c r="X310" t="s">
        <v>402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928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400</v>
      </c>
      <c r="X311" t="s">
        <v>403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931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404</v>
      </c>
      <c r="X312" t="s">
        <v>239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934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404</v>
      </c>
      <c r="X313" t="s">
        <v>405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936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406</v>
      </c>
      <c r="X314" t="s">
        <v>407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941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408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944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409</v>
      </c>
      <c r="X316" t="s">
        <v>410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946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409</v>
      </c>
      <c r="X317" t="s">
        <v>254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949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409</v>
      </c>
      <c r="X318" t="s">
        <v>411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409</v>
      </c>
      <c r="X319" t="s">
        <v>412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358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413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414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415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416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254</v>
      </c>
      <c r="X325" t="s">
        <v>417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254</v>
      </c>
      <c r="X326" t="s">
        <v>418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254</v>
      </c>
      <c r="X327" t="s">
        <v>363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254</v>
      </c>
      <c r="X328" t="s">
        <v>341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254</v>
      </c>
      <c r="X329" t="s">
        <v>419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254</v>
      </c>
      <c r="X330" t="s">
        <v>420</v>
      </c>
      <c r="Y330">
        <v>0.00981</v>
      </c>
    </row>
    <row r="331" spans="1:25" ht="15">
      <c r="A331" s="183" t="s">
        <v>918</v>
      </c>
      <c r="B331" s="339">
        <v>0.7188</v>
      </c>
      <c r="V331" t="str">
        <f t="shared" si="5"/>
        <v>Grams  &lt;&lt;&lt;&gt;&gt;&gt; Kilograms </v>
      </c>
      <c r="W331" t="s">
        <v>254</v>
      </c>
      <c r="X331" t="s">
        <v>364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254</v>
      </c>
      <c r="X332" t="s">
        <v>421</v>
      </c>
      <c r="Y332">
        <v>1000</v>
      </c>
    </row>
    <row r="333" spans="1:25" ht="15">
      <c r="A333" s="183" t="s">
        <v>921</v>
      </c>
      <c r="B333" s="339">
        <v>0.7344</v>
      </c>
      <c r="V333" t="str">
        <f t="shared" si="5"/>
        <v>Grams  &lt;&lt;&lt;&gt;&gt;&gt; Ounces (troy) </v>
      </c>
      <c r="W333" t="s">
        <v>254</v>
      </c>
      <c r="X333" t="s">
        <v>344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254</v>
      </c>
      <c r="X334" t="s">
        <v>422</v>
      </c>
      <c r="Y334">
        <v>0.035273962</v>
      </c>
    </row>
    <row r="335" spans="1:25" ht="15">
      <c r="A335" s="183" t="s">
        <v>924</v>
      </c>
      <c r="B335" s="339">
        <v>0.75</v>
      </c>
      <c r="V335" t="str">
        <f t="shared" si="5"/>
        <v>Grams  &lt;&lt;&lt;&gt;&gt;&gt; Poundals </v>
      </c>
      <c r="W335" t="s">
        <v>254</v>
      </c>
      <c r="X335" t="s">
        <v>365</v>
      </c>
      <c r="Y335">
        <v>0.07093</v>
      </c>
    </row>
    <row r="336" spans="1:25" ht="15">
      <c r="A336" s="183" t="s">
        <v>927</v>
      </c>
      <c r="B336" s="339">
        <v>0.7656</v>
      </c>
      <c r="V336" t="str">
        <f t="shared" si="5"/>
        <v>Grams  &lt;&lt;&lt;&gt;&gt;&gt; Pounds </v>
      </c>
      <c r="W336" t="s">
        <v>254</v>
      </c>
      <c r="X336" t="s">
        <v>366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423</v>
      </c>
      <c r="X337" t="s">
        <v>424</v>
      </c>
      <c r="Y337">
        <v>0.0361273</v>
      </c>
    </row>
    <row r="338" spans="1:25" ht="15">
      <c r="A338" s="183" t="s">
        <v>930</v>
      </c>
      <c r="B338" s="339">
        <v>0.7812</v>
      </c>
      <c r="V338" t="str">
        <f t="shared" si="5"/>
        <v>Grams/cm  &lt;&lt;&lt;&gt;&gt;&gt; Pounds/Inch </v>
      </c>
      <c r="W338" t="s">
        <v>425</v>
      </c>
      <c r="X338" t="s">
        <v>426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427</v>
      </c>
      <c r="X339" t="s">
        <v>428</v>
      </c>
      <c r="Y339">
        <v>62.43</v>
      </c>
    </row>
    <row r="340" spans="1:25" ht="15">
      <c r="A340" s="183" t="s">
        <v>932</v>
      </c>
      <c r="B340" s="339">
        <v>0.7969</v>
      </c>
      <c r="V340" t="str">
        <f t="shared" si="5"/>
        <v>Grams/cu. cm  &lt;&lt;&lt;&gt;&gt;&gt; Pounds/cu. Inch </v>
      </c>
      <c r="W340" t="s">
        <v>427</v>
      </c>
      <c r="X340" t="s">
        <v>429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430</v>
      </c>
      <c r="X341" t="s">
        <v>60</v>
      </c>
      <c r="Y341">
        <v>10.16</v>
      </c>
    </row>
    <row r="342" spans="1:25" ht="15">
      <c r="A342" s="183" t="s">
        <v>935</v>
      </c>
      <c r="B342" s="339">
        <v>0.8125</v>
      </c>
      <c r="V342" t="str">
        <f t="shared" si="5"/>
        <v>Hectares  &lt;&lt;&lt;&gt;&gt;&gt; Acres </v>
      </c>
      <c r="W342" t="s">
        <v>431</v>
      </c>
      <c r="X342" t="s">
        <v>1097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431</v>
      </c>
      <c r="X343" t="s">
        <v>1096</v>
      </c>
      <c r="Y343">
        <v>107600</v>
      </c>
    </row>
    <row r="344" spans="1:25" ht="15">
      <c r="A344" s="183" t="s">
        <v>940</v>
      </c>
      <c r="B344" s="339">
        <v>0.8281</v>
      </c>
      <c r="V344" t="str">
        <f t="shared" si="5"/>
        <v>Hectograms  &lt;&lt;&lt;&gt;&gt;&gt; Grams </v>
      </c>
      <c r="W344" t="s">
        <v>432</v>
      </c>
      <c r="X344" t="s">
        <v>254</v>
      </c>
      <c r="Y344">
        <v>100</v>
      </c>
    </row>
    <row r="345" spans="1:25" ht="15">
      <c r="A345" s="183" t="s">
        <v>942</v>
      </c>
      <c r="B345" s="339">
        <v>0.8438</v>
      </c>
      <c r="V345" t="str">
        <f t="shared" si="5"/>
        <v>Hectoliters  &lt;&lt;&lt;&gt;&gt;&gt; Liters </v>
      </c>
      <c r="W345" t="s">
        <v>433</v>
      </c>
      <c r="X345" t="s">
        <v>239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434</v>
      </c>
      <c r="X346" t="s">
        <v>64</v>
      </c>
      <c r="Y346">
        <v>100</v>
      </c>
    </row>
    <row r="347" spans="1:25" ht="15">
      <c r="A347" s="183" t="s">
        <v>945</v>
      </c>
      <c r="B347" s="339">
        <v>0.8594</v>
      </c>
      <c r="V347" t="str">
        <f t="shared" si="5"/>
        <v>hectowatts  &lt;&lt;&lt;&gt;&gt;&gt; Watts </v>
      </c>
      <c r="W347" t="s">
        <v>435</v>
      </c>
      <c r="X347" t="s">
        <v>229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436</v>
      </c>
      <c r="X348" t="s">
        <v>1093</v>
      </c>
      <c r="Y348">
        <v>10.114</v>
      </c>
    </row>
    <row r="349" spans="1:25" ht="15">
      <c r="A349" s="183" t="s">
        <v>947</v>
      </c>
      <c r="B349" s="339">
        <v>0.875</v>
      </c>
      <c r="V349" t="str">
        <f t="shared" si="5"/>
        <v>Hogsheads (U.S.)  &lt;&lt;&lt;&gt;&gt;&gt; Cubic Feet </v>
      </c>
      <c r="W349" t="s">
        <v>437</v>
      </c>
      <c r="X349" t="s">
        <v>1093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437</v>
      </c>
      <c r="X350" t="s">
        <v>438</v>
      </c>
      <c r="Y350">
        <v>63</v>
      </c>
    </row>
    <row r="351" spans="1:25" ht="15">
      <c r="A351" s="183" t="s">
        <v>950</v>
      </c>
      <c r="B351" s="339">
        <v>0.8906</v>
      </c>
      <c r="V351" t="str">
        <f t="shared" si="5"/>
        <v>HorsePower  &lt;&lt;&lt;&gt;&gt;&gt; BTU/Minute </v>
      </c>
      <c r="W351" t="s">
        <v>232</v>
      </c>
      <c r="X351" t="s">
        <v>230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232</v>
      </c>
      <c r="X352" t="s">
        <v>439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232</v>
      </c>
      <c r="X353" t="s">
        <v>231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232</v>
      </c>
      <c r="X354" t="s">
        <v>440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232</v>
      </c>
      <c r="X355" t="s">
        <v>233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232</v>
      </c>
      <c r="X356" t="s">
        <v>229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441</v>
      </c>
      <c r="X357" t="s">
        <v>1142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441</v>
      </c>
      <c r="X358" t="s">
        <v>233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442</v>
      </c>
      <c r="X359" t="s">
        <v>232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1137</v>
      </c>
      <c r="X360" t="s">
        <v>1133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1137</v>
      </c>
      <c r="X361" t="s">
        <v>1134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1137</v>
      </c>
      <c r="X362" t="s">
        <v>1135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1137</v>
      </c>
      <c r="X363" t="s">
        <v>1136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1137</v>
      </c>
      <c r="X364" t="s">
        <v>1138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1137</v>
      </c>
      <c r="X365" t="s">
        <v>1139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1137</v>
      </c>
      <c r="X366" t="s">
        <v>1140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1137</v>
      </c>
      <c r="X367" t="s">
        <v>1141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443</v>
      </c>
      <c r="X368" t="s">
        <v>444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443</v>
      </c>
      <c r="X369" t="s">
        <v>445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446</v>
      </c>
      <c r="X370" t="s">
        <v>414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447</v>
      </c>
      <c r="X371" t="s">
        <v>448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449</v>
      </c>
      <c r="X372" t="s">
        <v>366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449</v>
      </c>
      <c r="X373" t="s">
        <v>450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451</v>
      </c>
      <c r="X374" t="s">
        <v>411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451</v>
      </c>
      <c r="X375" t="s">
        <v>366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451</v>
      </c>
      <c r="X376" t="s">
        <v>450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451</v>
      </c>
      <c r="X377" t="s">
        <v>452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261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453</v>
      </c>
      <c r="X385" t="s">
        <v>1107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453</v>
      </c>
      <c r="X386" t="s">
        <v>263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453</v>
      </c>
      <c r="X387" t="s">
        <v>1112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453</v>
      </c>
      <c r="X388" t="s">
        <v>1114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453</v>
      </c>
      <c r="X389" t="s">
        <v>454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453</v>
      </c>
      <c r="X390" t="s">
        <v>455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456</v>
      </c>
      <c r="X391" t="s">
        <v>1107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456</v>
      </c>
      <c r="X392" t="s">
        <v>453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456</v>
      </c>
      <c r="X393" t="s">
        <v>1112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456</v>
      </c>
      <c r="X394" t="s">
        <v>457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456</v>
      </c>
      <c r="X395" t="s">
        <v>1129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456</v>
      </c>
      <c r="X396" t="s">
        <v>1115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265</v>
      </c>
      <c r="X397" t="s">
        <v>264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265</v>
      </c>
      <c r="X398" t="s">
        <v>382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265</v>
      </c>
      <c r="X399" t="s">
        <v>458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459</v>
      </c>
      <c r="X400" t="s">
        <v>374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460</v>
      </c>
      <c r="X401" t="s">
        <v>1138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460</v>
      </c>
      <c r="X402" t="s">
        <v>461</v>
      </c>
      <c r="Y402">
        <v>1.59E-19</v>
      </c>
    </row>
    <row r="403" spans="1:25" ht="15">
      <c r="A403" s="183" t="s">
        <v>919</v>
      </c>
      <c r="B403" s="339">
        <v>1.3438</v>
      </c>
      <c r="V403" t="str">
        <f t="shared" si="6"/>
        <v>Joules  &lt;&lt;&lt;&gt;&gt;&gt; BTU </v>
      </c>
      <c r="W403" t="s">
        <v>1138</v>
      </c>
      <c r="X403" t="s">
        <v>1133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1138</v>
      </c>
      <c r="X404" t="s">
        <v>1134</v>
      </c>
      <c r="Y404">
        <v>10000000</v>
      </c>
    </row>
    <row r="405" spans="1:25" ht="15">
      <c r="A405" s="183" t="s">
        <v>923</v>
      </c>
      <c r="B405" s="339">
        <v>1.3594</v>
      </c>
      <c r="V405" t="str">
        <f t="shared" si="6"/>
        <v>Joules  &lt;&lt;&lt;&gt;&gt;&gt; Foot-pounds </v>
      </c>
      <c r="W405" t="s">
        <v>1138</v>
      </c>
      <c r="X405" t="s">
        <v>389</v>
      </c>
      <c r="Y405">
        <v>0.7376</v>
      </c>
    </row>
    <row r="406" spans="1:25" ht="15">
      <c r="A406" s="183" t="s">
        <v>925</v>
      </c>
      <c r="B406" s="339">
        <v>1.375</v>
      </c>
      <c r="V406" t="str">
        <f t="shared" si="6"/>
        <v>Joules  &lt;&lt;&lt;&gt;&gt;&gt; Kilogram-Calories </v>
      </c>
      <c r="W406" t="s">
        <v>1138</v>
      </c>
      <c r="X406" t="s">
        <v>1139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1138</v>
      </c>
      <c r="X407" t="s">
        <v>1140</v>
      </c>
      <c r="Y407">
        <v>0.102</v>
      </c>
    </row>
    <row r="408" spans="1:25" ht="15">
      <c r="A408" s="183" t="s">
        <v>928</v>
      </c>
      <c r="B408" s="339">
        <v>1.3906</v>
      </c>
      <c r="V408" t="str">
        <f t="shared" si="6"/>
        <v>Joules  &lt;&lt;&lt;&gt;&gt;&gt; Poundals </v>
      </c>
      <c r="W408" t="s">
        <v>1138</v>
      </c>
      <c r="X408" t="s">
        <v>365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1138</v>
      </c>
      <c r="X409" t="s">
        <v>366</v>
      </c>
      <c r="Y409">
        <v>22.48</v>
      </c>
    </row>
    <row r="410" spans="1:25" ht="15">
      <c r="A410" s="183" t="s">
        <v>931</v>
      </c>
      <c r="B410" s="339">
        <v>1.4062</v>
      </c>
      <c r="V410" t="str">
        <f t="shared" si="6"/>
        <v>Joules  &lt;&lt;&lt;&gt;&gt;&gt; Watt-Hours </v>
      </c>
      <c r="W410" t="s">
        <v>1138</v>
      </c>
      <c r="X410" t="s">
        <v>371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359</v>
      </c>
      <c r="X411" t="s">
        <v>358</v>
      </c>
      <c r="Y411">
        <v>10000000</v>
      </c>
    </row>
    <row r="412" spans="1:25" ht="15">
      <c r="A412" s="183" t="s">
        <v>934</v>
      </c>
      <c r="B412" s="339">
        <v>1.4219</v>
      </c>
      <c r="V412" t="str">
        <f t="shared" si="6"/>
        <v>Joules/Centimeters  &lt;&lt;&lt;&gt;&gt;&gt; dynes </v>
      </c>
      <c r="W412" t="s">
        <v>462</v>
      </c>
      <c r="X412" t="s">
        <v>463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462</v>
      </c>
      <c r="X413" t="s">
        <v>254</v>
      </c>
      <c r="Y413">
        <v>10200</v>
      </c>
    </row>
    <row r="414" spans="1:25" ht="15">
      <c r="A414" s="183" t="s">
        <v>936</v>
      </c>
      <c r="B414" s="339">
        <v>1.4375</v>
      </c>
      <c r="V414" t="str">
        <f t="shared" si="6"/>
        <v>Joules/Centimeters  &lt;&lt;&lt;&gt;&gt;&gt; Joules/Meter (newton) </v>
      </c>
      <c r="W414" t="s">
        <v>462</v>
      </c>
      <c r="X414" t="s">
        <v>464</v>
      </c>
      <c r="Y414">
        <v>100</v>
      </c>
    </row>
    <row r="415" spans="1:25" ht="15">
      <c r="A415" s="183" t="s">
        <v>941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358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465</v>
      </c>
      <c r="Y416">
        <v>1000</v>
      </c>
    </row>
    <row r="417" spans="1:25" ht="15">
      <c r="A417" s="183" t="s">
        <v>944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446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447</v>
      </c>
      <c r="Y418">
        <v>0.02204622</v>
      </c>
    </row>
    <row r="419" spans="1:25" ht="15">
      <c r="A419" s="183" t="s">
        <v>946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415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416</v>
      </c>
      <c r="Y420">
        <v>32.15074</v>
      </c>
    </row>
    <row r="421" spans="1:25" ht="15">
      <c r="A421" s="183" t="s">
        <v>949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466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467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468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469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470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471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364</v>
      </c>
      <c r="X427" t="s">
        <v>363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364</v>
      </c>
      <c r="X428" t="s">
        <v>254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364</v>
      </c>
      <c r="X429" t="s">
        <v>472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364</v>
      </c>
      <c r="X430" t="s">
        <v>473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364</v>
      </c>
      <c r="X431" t="s">
        <v>365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364</v>
      </c>
      <c r="X432" t="s">
        <v>366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364</v>
      </c>
      <c r="X433" t="s">
        <v>450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364</v>
      </c>
      <c r="X434" t="s">
        <v>474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475</v>
      </c>
      <c r="X435" t="s">
        <v>476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475</v>
      </c>
      <c r="X436" t="s">
        <v>477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475</v>
      </c>
      <c r="X437" t="s">
        <v>478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479</v>
      </c>
      <c r="X438" t="s">
        <v>480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479</v>
      </c>
      <c r="X439" t="s">
        <v>481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479</v>
      </c>
      <c r="X440" t="s">
        <v>482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479</v>
      </c>
      <c r="X441" t="s">
        <v>483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479</v>
      </c>
      <c r="X442" t="s">
        <v>484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479</v>
      </c>
      <c r="X443" t="s">
        <v>485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486</v>
      </c>
      <c r="X444" t="s">
        <v>487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488</v>
      </c>
      <c r="X445" t="s">
        <v>358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489</v>
      </c>
      <c r="X446" t="s">
        <v>484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489</v>
      </c>
      <c r="X447" t="s">
        <v>485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490</v>
      </c>
      <c r="X448" t="s">
        <v>491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492</v>
      </c>
      <c r="X449" t="s">
        <v>361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493</v>
      </c>
      <c r="X450" t="s">
        <v>239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494</v>
      </c>
      <c r="X451" t="s">
        <v>495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494</v>
      </c>
      <c r="X452" t="s">
        <v>496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494</v>
      </c>
      <c r="X453" t="s">
        <v>497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494</v>
      </c>
      <c r="X454" t="s">
        <v>498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494</v>
      </c>
      <c r="X455" t="s">
        <v>499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494</v>
      </c>
      <c r="X456" t="s">
        <v>500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494</v>
      </c>
      <c r="X457" t="s">
        <v>501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494</v>
      </c>
      <c r="X458" t="s">
        <v>502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494</v>
      </c>
      <c r="X459" t="s">
        <v>503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504</v>
      </c>
      <c r="X460" t="s">
        <v>505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273</v>
      </c>
      <c r="X461" t="s">
        <v>270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273</v>
      </c>
      <c r="X462" t="s">
        <v>271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273</v>
      </c>
      <c r="X463" t="s">
        <v>272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273</v>
      </c>
      <c r="X464" t="s">
        <v>274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273</v>
      </c>
      <c r="X465" t="s">
        <v>275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273</v>
      </c>
      <c r="X466" t="s">
        <v>276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280</v>
      </c>
      <c r="X467" t="s">
        <v>506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280</v>
      </c>
      <c r="X468" t="s">
        <v>279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280</v>
      </c>
      <c r="X469" t="s">
        <v>281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280</v>
      </c>
      <c r="X470" t="s">
        <v>282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507</v>
      </c>
      <c r="X471" t="s">
        <v>361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1141</v>
      </c>
      <c r="X472" t="s">
        <v>1133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1141</v>
      </c>
      <c r="X473" t="s">
        <v>1134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1141</v>
      </c>
      <c r="X474" t="s">
        <v>1135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1141</v>
      </c>
      <c r="X475" t="s">
        <v>1136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1141</v>
      </c>
      <c r="X476" t="s">
        <v>1137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1141</v>
      </c>
      <c r="X477" t="s">
        <v>1138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1141</v>
      </c>
      <c r="X478" t="s">
        <v>1139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1141</v>
      </c>
      <c r="X479" t="s">
        <v>1140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1141</v>
      </c>
      <c r="X480" t="s">
        <v>508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1141</v>
      </c>
      <c r="X481" t="s">
        <v>509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233</v>
      </c>
      <c r="X482" t="s">
        <v>230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233</v>
      </c>
      <c r="X483" t="s">
        <v>439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233</v>
      </c>
      <c r="X484" t="s">
        <v>231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233</v>
      </c>
      <c r="X485" t="s">
        <v>232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233</v>
      </c>
      <c r="X486" t="s">
        <v>440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233</v>
      </c>
      <c r="X487" t="s">
        <v>229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274</v>
      </c>
      <c r="X488" t="s">
        <v>510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274</v>
      </c>
      <c r="X489" t="s">
        <v>272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274</v>
      </c>
      <c r="X490" t="s">
        <v>273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274</v>
      </c>
      <c r="X491" t="s">
        <v>511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274</v>
      </c>
      <c r="X492" t="s">
        <v>512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274</v>
      </c>
      <c r="X493" t="s">
        <v>513</v>
      </c>
      <c r="Y493">
        <v>2027</v>
      </c>
    </row>
    <row r="494" spans="22:25" ht="15">
      <c r="V494" t="str">
        <f t="shared" si="7"/>
        <v>League &lt;&lt;&lt;&gt;&gt;&gt; Miles</v>
      </c>
      <c r="W494" t="s">
        <v>514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515</v>
      </c>
      <c r="X495" t="s">
        <v>494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515</v>
      </c>
      <c r="X496" t="s">
        <v>516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517</v>
      </c>
      <c r="X497" t="s">
        <v>498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518</v>
      </c>
      <c r="X498" t="s">
        <v>498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239</v>
      </c>
      <c r="X499" t="s">
        <v>519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239</v>
      </c>
      <c r="X500" t="s">
        <v>407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239</v>
      </c>
      <c r="X501" t="s">
        <v>1093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239</v>
      </c>
      <c r="X502" t="s">
        <v>237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239</v>
      </c>
      <c r="X503" t="s">
        <v>238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239</v>
      </c>
      <c r="X504" t="s">
        <v>306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239</v>
      </c>
      <c r="X505" t="s">
        <v>325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239</v>
      </c>
      <c r="X506" t="s">
        <v>520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239</v>
      </c>
      <c r="X507" t="s">
        <v>521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239</v>
      </c>
      <c r="X508" t="s">
        <v>522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312</v>
      </c>
      <c r="X509" t="s">
        <v>310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312</v>
      </c>
      <c r="X510" t="s">
        <v>523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396</v>
      </c>
      <c r="X511" t="s">
        <v>523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524</v>
      </c>
      <c r="X512" t="s">
        <v>318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524</v>
      </c>
      <c r="X513" t="s">
        <v>315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525</v>
      </c>
      <c r="X514" t="s">
        <v>526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525</v>
      </c>
      <c r="X515" t="s">
        <v>527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528</v>
      </c>
      <c r="X516" t="s">
        <v>529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528</v>
      </c>
      <c r="X517" t="s">
        <v>530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531</v>
      </c>
      <c r="X518" t="s">
        <v>529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531</v>
      </c>
      <c r="X519" t="s">
        <v>388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532</v>
      </c>
      <c r="X520" t="s">
        <v>529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533</v>
      </c>
      <c r="X521" t="s">
        <v>534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533</v>
      </c>
      <c r="X522" t="s">
        <v>535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500</v>
      </c>
      <c r="X523" t="s">
        <v>536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500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500</v>
      </c>
      <c r="X525" t="s">
        <v>498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500</v>
      </c>
      <c r="X526" t="s">
        <v>494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500</v>
      </c>
      <c r="X527" t="s">
        <v>537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500</v>
      </c>
      <c r="X528" t="s">
        <v>538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500</v>
      </c>
      <c r="X529" t="s">
        <v>502</v>
      </c>
      <c r="Y529">
        <v>1000</v>
      </c>
    </row>
    <row r="530" spans="22:25" ht="15">
      <c r="V530" t="str">
        <f t="shared" si="8"/>
        <v>Meters  &lt;&lt;&lt;&gt;&gt;&gt; Rods</v>
      </c>
      <c r="W530" t="s">
        <v>500</v>
      </c>
      <c r="X530" t="s">
        <v>393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500</v>
      </c>
      <c r="X531" t="s">
        <v>503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539</v>
      </c>
      <c r="X532" t="s">
        <v>510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539</v>
      </c>
      <c r="X533" t="s">
        <v>540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541</v>
      </c>
      <c r="X534" t="s">
        <v>542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275</v>
      </c>
      <c r="X535" t="s">
        <v>270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275</v>
      </c>
      <c r="X536" t="s">
        <v>271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275</v>
      </c>
      <c r="X537" t="s">
        <v>272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275</v>
      </c>
      <c r="X538" t="s">
        <v>273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275</v>
      </c>
      <c r="X539" t="s">
        <v>274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275</v>
      </c>
      <c r="X540" t="s">
        <v>276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543</v>
      </c>
      <c r="X541" t="s">
        <v>510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543</v>
      </c>
      <c r="X542" t="s">
        <v>271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543</v>
      </c>
      <c r="X543" t="s">
        <v>272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543</v>
      </c>
      <c r="X544" t="s">
        <v>273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543</v>
      </c>
      <c r="X545" t="s">
        <v>544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543</v>
      </c>
      <c r="X546" t="s">
        <v>276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543</v>
      </c>
      <c r="X547" t="s">
        <v>277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385</v>
      </c>
      <c r="X548" t="s">
        <v>278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385</v>
      </c>
      <c r="X549" t="s">
        <v>279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385</v>
      </c>
      <c r="X550" t="s">
        <v>280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385</v>
      </c>
      <c r="X551" t="s">
        <v>282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545</v>
      </c>
      <c r="X552" t="s">
        <v>254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534</v>
      </c>
      <c r="X553" t="s">
        <v>533</v>
      </c>
      <c r="Y553">
        <v>1E-12</v>
      </c>
    </row>
    <row r="554" spans="22:25" ht="15">
      <c r="V554" t="str">
        <f t="shared" si="8"/>
        <v>Microhms  &lt;&lt;&lt;&gt;&gt;&gt; Ohms </v>
      </c>
      <c r="W554" t="s">
        <v>534</v>
      </c>
      <c r="X554" t="s">
        <v>535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546</v>
      </c>
      <c r="X555" t="s">
        <v>239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547</v>
      </c>
      <c r="X556" t="s">
        <v>500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537</v>
      </c>
      <c r="X557" t="s">
        <v>497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537</v>
      </c>
      <c r="X558" t="s">
        <v>494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537</v>
      </c>
      <c r="X559" t="s">
        <v>500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537</v>
      </c>
      <c r="X560" t="s">
        <v>538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537</v>
      </c>
      <c r="X561" t="s">
        <v>503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538</v>
      </c>
      <c r="X562" t="s">
        <v>496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538</v>
      </c>
      <c r="X563" t="s">
        <v>497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538</v>
      </c>
      <c r="X564" t="s">
        <v>498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538</v>
      </c>
      <c r="X565" t="s">
        <v>494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538</v>
      </c>
      <c r="X566" t="s">
        <v>500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538</v>
      </c>
      <c r="X567" t="s">
        <v>537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538</v>
      </c>
      <c r="X568" t="s">
        <v>503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276</v>
      </c>
      <c r="X569" t="s">
        <v>270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276</v>
      </c>
      <c r="X570" t="s">
        <v>271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276</v>
      </c>
      <c r="X571" t="s">
        <v>272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276</v>
      </c>
      <c r="X572" t="s">
        <v>273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276</v>
      </c>
      <c r="X573" t="s">
        <v>544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276</v>
      </c>
      <c r="X574" t="s">
        <v>274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276</v>
      </c>
      <c r="X575" t="s">
        <v>275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276</v>
      </c>
      <c r="X576" t="s">
        <v>277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282</v>
      </c>
      <c r="X577" t="s">
        <v>278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282</v>
      </c>
      <c r="X578" t="s">
        <v>279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282</v>
      </c>
      <c r="X579" t="s">
        <v>280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282</v>
      </c>
      <c r="X580" t="s">
        <v>281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277</v>
      </c>
      <c r="X581" t="s">
        <v>270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277</v>
      </c>
      <c r="X582" t="s">
        <v>272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277</v>
      </c>
      <c r="X583" t="s">
        <v>544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277</v>
      </c>
      <c r="X584" t="s">
        <v>548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277</v>
      </c>
      <c r="X585" t="s">
        <v>276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549</v>
      </c>
      <c r="X586" t="s">
        <v>364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421</v>
      </c>
      <c r="X587" t="s">
        <v>341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421</v>
      </c>
      <c r="X588" t="s">
        <v>254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550</v>
      </c>
      <c r="X589" t="s">
        <v>239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502</v>
      </c>
      <c r="X590" t="s">
        <v>496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502</v>
      </c>
      <c r="X591" t="s">
        <v>497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502</v>
      </c>
      <c r="X592" t="s">
        <v>498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502</v>
      </c>
      <c r="X593" t="s">
        <v>494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502</v>
      </c>
      <c r="X594" t="s">
        <v>500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502</v>
      </c>
      <c r="X595" t="s">
        <v>516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502</v>
      </c>
      <c r="X596" t="s">
        <v>551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502</v>
      </c>
      <c r="X597" t="s">
        <v>503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552</v>
      </c>
      <c r="X598" t="s">
        <v>542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553</v>
      </c>
      <c r="X599" t="s">
        <v>500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551</v>
      </c>
      <c r="X600" t="s">
        <v>496</v>
      </c>
      <c r="Y600">
        <v>0.00254</v>
      </c>
    </row>
    <row r="601" spans="22:25" ht="15">
      <c r="V601" t="str">
        <f t="shared" si="9"/>
        <v>Mils  &lt;&lt;&lt;&gt;&gt;&gt; Feet </v>
      </c>
      <c r="W601" t="s">
        <v>551</v>
      </c>
      <c r="X601" t="s">
        <v>497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551</v>
      </c>
      <c r="X602" t="s">
        <v>498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551</v>
      </c>
      <c r="X603" t="s">
        <v>494</v>
      </c>
      <c r="Y603">
        <v>0.00254</v>
      </c>
    </row>
    <row r="604" spans="22:25" ht="15">
      <c r="V604" t="str">
        <f t="shared" si="9"/>
        <v>Mils  &lt;&lt;&lt;&gt;&gt;&gt; Yards </v>
      </c>
      <c r="W604" t="s">
        <v>551</v>
      </c>
      <c r="X604" t="s">
        <v>503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554</v>
      </c>
      <c r="X605" t="s">
        <v>555</v>
      </c>
      <c r="Y605">
        <v>60</v>
      </c>
    </row>
    <row r="606" spans="22:25" ht="15">
      <c r="V606" t="str">
        <f t="shared" si="9"/>
        <v>Newtons (N) &lt;&lt;&lt;&gt;&gt;&gt; Dynes</v>
      </c>
      <c r="W606" t="s">
        <v>361</v>
      </c>
      <c r="X606" t="s">
        <v>358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361</v>
      </c>
      <c r="X607" t="s">
        <v>556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361</v>
      </c>
      <c r="X608" t="s">
        <v>507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361</v>
      </c>
      <c r="X609" t="s">
        <v>557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361</v>
      </c>
      <c r="X610" t="s">
        <v>558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361</v>
      </c>
      <c r="X611" t="s">
        <v>559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560</v>
      </c>
      <c r="X612" t="s">
        <v>561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560</v>
      </c>
      <c r="X613" t="s">
        <v>562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563</v>
      </c>
      <c r="X614" t="s">
        <v>564</v>
      </c>
      <c r="Y614">
        <v>1.0005</v>
      </c>
    </row>
    <row r="615" spans="22:25" ht="15">
      <c r="V615" t="str">
        <f t="shared" si="9"/>
        <v>Ohms  &lt;&lt;&lt;&gt;&gt;&gt; Megohms </v>
      </c>
      <c r="W615" t="s">
        <v>535</v>
      </c>
      <c r="X615" t="s">
        <v>533</v>
      </c>
      <c r="Y615">
        <v>1E-06</v>
      </c>
    </row>
    <row r="616" spans="22:25" ht="15">
      <c r="V616" t="str">
        <f t="shared" si="9"/>
        <v>Ohms  &lt;&lt;&lt;&gt;&gt;&gt; Microhms </v>
      </c>
      <c r="W616" t="s">
        <v>535</v>
      </c>
      <c r="X616" t="s">
        <v>534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342</v>
      </c>
      <c r="X617" t="s">
        <v>340</v>
      </c>
      <c r="Y617">
        <v>16</v>
      </c>
    </row>
    <row r="618" spans="22:25" ht="15">
      <c r="V618" t="str">
        <f t="shared" si="9"/>
        <v>Ounces  &lt;&lt;&lt;&gt;&gt;&gt; Grains </v>
      </c>
      <c r="W618" t="s">
        <v>342</v>
      </c>
      <c r="X618" t="s">
        <v>341</v>
      </c>
      <c r="Y618">
        <v>437.5</v>
      </c>
    </row>
    <row r="619" spans="22:25" ht="15">
      <c r="V619" t="str">
        <f t="shared" si="9"/>
        <v>Ounces  &lt;&lt;&lt;&gt;&gt;&gt; Grams </v>
      </c>
      <c r="W619" t="s">
        <v>342</v>
      </c>
      <c r="X619" t="s">
        <v>254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342</v>
      </c>
      <c r="X620" t="s">
        <v>344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342</v>
      </c>
      <c r="X621" t="s">
        <v>366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342</v>
      </c>
      <c r="X622" t="s">
        <v>450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342</v>
      </c>
      <c r="X623" t="s">
        <v>452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415</v>
      </c>
      <c r="X624" t="s">
        <v>465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415</v>
      </c>
      <c r="X625" t="s">
        <v>414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416</v>
      </c>
      <c r="X626" t="s">
        <v>465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416</v>
      </c>
      <c r="X627" t="s">
        <v>414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344</v>
      </c>
      <c r="X628" t="s">
        <v>341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344</v>
      </c>
      <c r="X629" t="s">
        <v>254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344</v>
      </c>
      <c r="X630" t="s">
        <v>411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344</v>
      </c>
      <c r="X631" t="s">
        <v>565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344</v>
      </c>
      <c r="X632" t="s">
        <v>566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567</v>
      </c>
      <c r="X633" t="s">
        <v>485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557</v>
      </c>
      <c r="X634" t="s">
        <v>361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568</v>
      </c>
      <c r="X635" t="s">
        <v>494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568</v>
      </c>
      <c r="X636" t="s">
        <v>516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569</v>
      </c>
      <c r="X637" t="s">
        <v>237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569</v>
      </c>
      <c r="X638" t="s">
        <v>239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570</v>
      </c>
      <c r="X639" t="s">
        <v>237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570</v>
      </c>
      <c r="X640" t="s">
        <v>239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565</v>
      </c>
      <c r="X641" t="s">
        <v>341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565</v>
      </c>
      <c r="X642" t="s">
        <v>254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565</v>
      </c>
      <c r="X643" t="s">
        <v>344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565</v>
      </c>
      <c r="X644" t="s">
        <v>566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571</v>
      </c>
      <c r="X645" t="s">
        <v>572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571</v>
      </c>
      <c r="X646" t="s">
        <v>237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571</v>
      </c>
      <c r="X647" t="s">
        <v>573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571</v>
      </c>
      <c r="X648" t="s">
        <v>574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571</v>
      </c>
      <c r="X649" t="s">
        <v>239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571</v>
      </c>
      <c r="X650" t="s">
        <v>550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571</v>
      </c>
      <c r="X651" t="s">
        <v>575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571</v>
      </c>
      <c r="X652" t="s">
        <v>576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571</v>
      </c>
      <c r="X653" t="s">
        <v>577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576</v>
      </c>
      <c r="X654" t="s">
        <v>578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577</v>
      </c>
      <c r="X655" t="s">
        <v>407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577</v>
      </c>
      <c r="X656" t="s">
        <v>1093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577</v>
      </c>
      <c r="X657" t="s">
        <v>237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577</v>
      </c>
      <c r="X658" t="s">
        <v>238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577</v>
      </c>
      <c r="X659" t="s">
        <v>306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577</v>
      </c>
      <c r="X660" t="s">
        <v>397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577</v>
      </c>
      <c r="X661" t="s">
        <v>579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577</v>
      </c>
      <c r="X662" t="s">
        <v>239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577</v>
      </c>
      <c r="X663" t="s">
        <v>550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577</v>
      </c>
      <c r="X664" t="s">
        <v>580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577</v>
      </c>
      <c r="X665" t="s">
        <v>581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577</v>
      </c>
      <c r="X666" t="s">
        <v>582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558</v>
      </c>
      <c r="X667" t="s">
        <v>361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362</v>
      </c>
      <c r="X668" t="s">
        <v>358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365</v>
      </c>
      <c r="X669" t="s">
        <v>254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365</v>
      </c>
      <c r="X670" t="s">
        <v>364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365</v>
      </c>
      <c r="X671" t="s">
        <v>366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260</v>
      </c>
      <c r="X672" t="s">
        <v>258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260</v>
      </c>
      <c r="X673" t="s">
        <v>284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260</v>
      </c>
      <c r="X674" t="s">
        <v>259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358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366</v>
      </c>
      <c r="X676" t="s">
        <v>340</v>
      </c>
      <c r="Y676">
        <v>256</v>
      </c>
    </row>
    <row r="677" spans="22:25" ht="15">
      <c r="V677" t="str">
        <f t="shared" si="10"/>
        <v>Pounds  &lt;&lt;&lt;&gt;&gt;&gt; Dynes </v>
      </c>
      <c r="W677" t="s">
        <v>366</v>
      </c>
      <c r="X677" t="s">
        <v>363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366</v>
      </c>
      <c r="X678" t="s">
        <v>341</v>
      </c>
      <c r="Y678">
        <v>7000</v>
      </c>
    </row>
    <row r="679" spans="22:25" ht="15">
      <c r="V679" t="str">
        <f t="shared" si="10"/>
        <v>Pounds  &lt;&lt;&lt;&gt;&gt;&gt; Grams </v>
      </c>
      <c r="W679" t="s">
        <v>366</v>
      </c>
      <c r="X679" t="s">
        <v>254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366</v>
      </c>
      <c r="X680" t="s">
        <v>472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366</v>
      </c>
      <c r="X681" t="s">
        <v>473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366</v>
      </c>
      <c r="X682" t="s">
        <v>364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366</v>
      </c>
      <c r="X683" t="s">
        <v>342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366</v>
      </c>
      <c r="X684" t="s">
        <v>344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366</v>
      </c>
      <c r="X685" t="s">
        <v>365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366</v>
      </c>
      <c r="X686" t="s">
        <v>566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366</v>
      </c>
      <c r="X687" t="s">
        <v>583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366</v>
      </c>
      <c r="X688" t="s">
        <v>474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466</v>
      </c>
      <c r="X689" t="s">
        <v>414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566</v>
      </c>
      <c r="X690" t="s">
        <v>341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566</v>
      </c>
      <c r="X691" t="s">
        <v>254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566</v>
      </c>
      <c r="X692" t="s">
        <v>411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566</v>
      </c>
      <c r="X693" t="s">
        <v>344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566</v>
      </c>
      <c r="X694" t="s">
        <v>565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566</v>
      </c>
      <c r="X695" t="s">
        <v>584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566</v>
      </c>
      <c r="X696" t="s">
        <v>450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566</v>
      </c>
      <c r="X697" t="s">
        <v>452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566</v>
      </c>
      <c r="X698" t="s">
        <v>474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585</v>
      </c>
      <c r="X699" t="s">
        <v>1093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585</v>
      </c>
      <c r="X700" t="s">
        <v>237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585</v>
      </c>
      <c r="X701" t="s">
        <v>1125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317</v>
      </c>
      <c r="X702" t="s">
        <v>318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476</v>
      </c>
      <c r="X703" t="s">
        <v>475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424</v>
      </c>
      <c r="X704" t="s">
        <v>423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561</v>
      </c>
      <c r="X705" t="s">
        <v>361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477</v>
      </c>
      <c r="X706" t="s">
        <v>475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478</v>
      </c>
      <c r="X707" t="s">
        <v>475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562</v>
      </c>
      <c r="X708" t="s">
        <v>361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586</v>
      </c>
      <c r="X709" t="s">
        <v>480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586</v>
      </c>
      <c r="X710" t="s">
        <v>587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586</v>
      </c>
      <c r="X711" t="s">
        <v>482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586</v>
      </c>
      <c r="X712" t="s">
        <v>483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482</v>
      </c>
      <c r="X713" t="s">
        <v>588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482</v>
      </c>
      <c r="X714" t="s">
        <v>587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482</v>
      </c>
      <c r="X715" t="s">
        <v>586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482</v>
      </c>
      <c r="X716" t="s">
        <v>483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484</v>
      </c>
      <c r="X717" t="s">
        <v>1107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484</v>
      </c>
      <c r="X718" t="s">
        <v>263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484</v>
      </c>
      <c r="X719" t="s">
        <v>491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484</v>
      </c>
      <c r="X720" t="s">
        <v>485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485</v>
      </c>
      <c r="X721" t="s">
        <v>1107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485</v>
      </c>
      <c r="X722" t="s">
        <v>263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485</v>
      </c>
      <c r="X723" t="s">
        <v>491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485</v>
      </c>
      <c r="X724" t="s">
        <v>484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559</v>
      </c>
      <c r="X725" t="s">
        <v>361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1122</v>
      </c>
      <c r="X726" t="s">
        <v>237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582</v>
      </c>
      <c r="X727" t="s">
        <v>305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582</v>
      </c>
      <c r="X728" t="s">
        <v>1093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582</v>
      </c>
      <c r="X729" t="s">
        <v>237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582</v>
      </c>
      <c r="X730" t="s">
        <v>238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582</v>
      </c>
      <c r="X731" t="s">
        <v>306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582</v>
      </c>
      <c r="X732" t="s">
        <v>1125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582</v>
      </c>
      <c r="X733" t="s">
        <v>239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335</v>
      </c>
      <c r="X734" t="s">
        <v>589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590</v>
      </c>
      <c r="X735" t="s">
        <v>591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590</v>
      </c>
      <c r="X736" t="s">
        <v>592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336</v>
      </c>
      <c r="X737" t="s">
        <v>593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594</v>
      </c>
      <c r="X738" t="s">
        <v>595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594</v>
      </c>
      <c r="X739" t="s">
        <v>591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594</v>
      </c>
      <c r="X740" t="s">
        <v>596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597</v>
      </c>
      <c r="X741" t="s">
        <v>598</v>
      </c>
      <c r="Y741">
        <v>0.25</v>
      </c>
    </row>
    <row r="742" spans="22:25" ht="15">
      <c r="V742" t="str">
        <f t="shared" si="11"/>
        <v>Rod  &lt;&lt;&lt;&gt;&gt;&gt; Meters </v>
      </c>
      <c r="W742" t="s">
        <v>597</v>
      </c>
      <c r="X742" t="s">
        <v>500</v>
      </c>
      <c r="Y742">
        <v>5.029</v>
      </c>
    </row>
    <row r="743" spans="22:25" ht="15">
      <c r="V743" t="str">
        <f t="shared" si="11"/>
        <v>Rods  &lt;&lt;&lt;&gt;&gt;&gt; Feet </v>
      </c>
      <c r="W743" t="s">
        <v>599</v>
      </c>
      <c r="X743" t="s">
        <v>497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600</v>
      </c>
      <c r="X744" t="s">
        <v>503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467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601</v>
      </c>
      <c r="X747" t="s">
        <v>602</v>
      </c>
      <c r="Y747">
        <v>14.59</v>
      </c>
    </row>
    <row r="748" spans="22:25" ht="15">
      <c r="V748" t="str">
        <f t="shared" si="11"/>
        <v>Slug  &lt;&lt;&lt;&gt;&gt;&gt; Pounds </v>
      </c>
      <c r="W748" t="s">
        <v>601</v>
      </c>
      <c r="X748" t="s">
        <v>366</v>
      </c>
      <c r="Y748">
        <v>32.17</v>
      </c>
    </row>
    <row r="749" spans="22:25" ht="15">
      <c r="V749" t="str">
        <f t="shared" si="11"/>
        <v>Span  &lt;&lt;&lt;&gt;&gt;&gt; Inch </v>
      </c>
      <c r="W749" t="s">
        <v>603</v>
      </c>
      <c r="X749" t="s">
        <v>604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605</v>
      </c>
      <c r="X750" t="s">
        <v>286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605</v>
      </c>
      <c r="X751" t="s">
        <v>1096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605</v>
      </c>
      <c r="X752" t="s">
        <v>288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605</v>
      </c>
      <c r="X753" t="s">
        <v>1098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605</v>
      </c>
      <c r="X754" t="s">
        <v>1099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605</v>
      </c>
      <c r="X755" t="s">
        <v>606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605</v>
      </c>
      <c r="X756" t="s">
        <v>1100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1096</v>
      </c>
      <c r="X757" t="s">
        <v>1097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1096</v>
      </c>
      <c r="X758" t="s">
        <v>286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1096</v>
      </c>
      <c r="X759" t="s">
        <v>287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1096</v>
      </c>
      <c r="X760" t="s">
        <v>288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1096</v>
      </c>
      <c r="X761" t="s">
        <v>1098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1096</v>
      </c>
      <c r="X762" t="s">
        <v>1099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1096</v>
      </c>
      <c r="X763" t="s">
        <v>606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1096</v>
      </c>
      <c r="X764" t="s">
        <v>1100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288</v>
      </c>
      <c r="X765" t="s">
        <v>286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288</v>
      </c>
      <c r="X766" t="s">
        <v>287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288</v>
      </c>
      <c r="X767" t="s">
        <v>1096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288</v>
      </c>
      <c r="X768" t="s">
        <v>1098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288</v>
      </c>
      <c r="X769" t="s">
        <v>606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288</v>
      </c>
      <c r="X770" t="s">
        <v>289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288</v>
      </c>
      <c r="X771" t="s">
        <v>1100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607</v>
      </c>
      <c r="X772" t="s">
        <v>1097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607</v>
      </c>
      <c r="X773" t="s">
        <v>287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607</v>
      </c>
      <c r="X774" t="s">
        <v>1096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607</v>
      </c>
      <c r="X775" t="s">
        <v>288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607</v>
      </c>
      <c r="X776" t="s">
        <v>1098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607</v>
      </c>
      <c r="X777" t="s">
        <v>1099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607</v>
      </c>
      <c r="X778" t="s">
        <v>1100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1098</v>
      </c>
      <c r="X779" t="s">
        <v>1097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1098</v>
      </c>
      <c r="X780" t="s">
        <v>287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1098</v>
      </c>
      <c r="X781" t="s">
        <v>1096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1098</v>
      </c>
      <c r="X782" t="s">
        <v>288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1098</v>
      </c>
      <c r="X783" t="s">
        <v>1099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1098</v>
      </c>
      <c r="X784" t="s">
        <v>606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1098</v>
      </c>
      <c r="X785" t="s">
        <v>1100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1099</v>
      </c>
      <c r="X786" t="s">
        <v>1097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1099</v>
      </c>
      <c r="X787" t="s">
        <v>1096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1099</v>
      </c>
      <c r="X788" t="s">
        <v>608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1099</v>
      </c>
      <c r="X789" t="s">
        <v>1098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1099</v>
      </c>
      <c r="X790" t="s">
        <v>1100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606</v>
      </c>
      <c r="X791" t="s">
        <v>286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606</v>
      </c>
      <c r="X792" t="s">
        <v>287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606</v>
      </c>
      <c r="X793" t="s">
        <v>1096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606</v>
      </c>
      <c r="X794" t="s">
        <v>288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289</v>
      </c>
      <c r="X795" t="s">
        <v>286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289</v>
      </c>
      <c r="X796" t="s">
        <v>287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289</v>
      </c>
      <c r="X797" t="s">
        <v>288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1100</v>
      </c>
      <c r="X798" t="s">
        <v>1097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1100</v>
      </c>
      <c r="X799" t="s">
        <v>287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1100</v>
      </c>
      <c r="X800" t="s">
        <v>1096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1100</v>
      </c>
      <c r="X801" t="s">
        <v>288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1100</v>
      </c>
      <c r="X802" t="s">
        <v>1098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1100</v>
      </c>
      <c r="X803" t="s">
        <v>1099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1100</v>
      </c>
      <c r="X804" t="s">
        <v>606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609</v>
      </c>
      <c r="X805" t="s">
        <v>610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611</v>
      </c>
      <c r="X806" t="s">
        <v>612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613</v>
      </c>
      <c r="X807" t="s">
        <v>647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613</v>
      </c>
      <c r="X808" t="s">
        <v>648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613</v>
      </c>
      <c r="X809" t="s">
        <v>649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613</v>
      </c>
      <c r="X810" t="s">
        <v>612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613</v>
      </c>
      <c r="X811" t="s">
        <v>650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613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613</v>
      </c>
      <c r="X813" t="s">
        <v>651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614</v>
      </c>
      <c r="X814" t="s">
        <v>612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615</v>
      </c>
      <c r="X815" t="s">
        <v>305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615</v>
      </c>
      <c r="X816" t="s">
        <v>647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615</v>
      </c>
      <c r="X817" t="s">
        <v>648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615</v>
      </c>
      <c r="X818" t="s">
        <v>650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615</v>
      </c>
      <c r="X819" t="s">
        <v>652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615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615</v>
      </c>
      <c r="X821" t="s">
        <v>613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468</v>
      </c>
      <c r="X822" t="s">
        <v>414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616</v>
      </c>
      <c r="X823" t="s">
        <v>414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617</v>
      </c>
      <c r="X824" t="s">
        <v>448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450</v>
      </c>
      <c r="X825" t="s">
        <v>364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450</v>
      </c>
      <c r="X826" t="s">
        <v>366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450</v>
      </c>
      <c r="X827" t="s">
        <v>474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470</v>
      </c>
      <c r="X828" t="s">
        <v>414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452</v>
      </c>
      <c r="X829" t="s">
        <v>364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452</v>
      </c>
      <c r="X830" t="s">
        <v>366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474</v>
      </c>
      <c r="X831" t="s">
        <v>342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474</v>
      </c>
      <c r="X832" t="s">
        <v>344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474</v>
      </c>
      <c r="X833" t="s">
        <v>366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474</v>
      </c>
      <c r="X834" t="s">
        <v>566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474</v>
      </c>
      <c r="X835" t="s">
        <v>450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474</v>
      </c>
      <c r="X836" t="s">
        <v>452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618</v>
      </c>
      <c r="X837" t="s">
        <v>491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618</v>
      </c>
      <c r="X838" t="s">
        <v>485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619</v>
      </c>
      <c r="X839" t="s">
        <v>399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619</v>
      </c>
      <c r="X840" t="s">
        <v>319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619</v>
      </c>
      <c r="X841" t="s">
        <v>620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621</v>
      </c>
      <c r="X842" t="s">
        <v>622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623</v>
      </c>
      <c r="X843" t="s">
        <v>624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625</v>
      </c>
      <c r="X844" t="s">
        <v>626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371</v>
      </c>
      <c r="X845" t="s">
        <v>1133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371</v>
      </c>
      <c r="X846" t="s">
        <v>1134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371</v>
      </c>
      <c r="X847" t="s">
        <v>389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371</v>
      </c>
      <c r="X848" t="s">
        <v>1136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371</v>
      </c>
      <c r="X849" t="s">
        <v>1137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371</v>
      </c>
      <c r="X850" t="s">
        <v>1139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371</v>
      </c>
      <c r="X851" t="s">
        <v>627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371</v>
      </c>
      <c r="X852" t="s">
        <v>1141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229</v>
      </c>
      <c r="X853" t="s">
        <v>1142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229</v>
      </c>
      <c r="X854" t="s">
        <v>230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229</v>
      </c>
      <c r="X855" t="s">
        <v>628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229</v>
      </c>
      <c r="X856" t="s">
        <v>439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229</v>
      </c>
      <c r="X857" t="s">
        <v>231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229</v>
      </c>
      <c r="X858" t="s">
        <v>232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229</v>
      </c>
      <c r="X859" t="s">
        <v>442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229</v>
      </c>
      <c r="X860" t="s">
        <v>440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229</v>
      </c>
      <c r="X861" t="s">
        <v>233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629</v>
      </c>
      <c r="X862" t="s">
        <v>630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629</v>
      </c>
      <c r="X863" t="s">
        <v>631</v>
      </c>
      <c r="Y863">
        <v>1</v>
      </c>
    </row>
    <row r="864" spans="22:25" ht="15">
      <c r="V864" t="str">
        <f t="shared" si="13"/>
        <v>Week  &lt;&lt;&lt;&gt;&gt;&gt; Day </v>
      </c>
      <c r="W864" t="s">
        <v>632</v>
      </c>
      <c r="X864" t="s">
        <v>633</v>
      </c>
      <c r="Y864">
        <v>7</v>
      </c>
    </row>
    <row r="865" spans="22:25" ht="15">
      <c r="V865" t="str">
        <f t="shared" si="13"/>
        <v>Week  &lt;&lt;&lt;&gt;&gt;&gt; Hour </v>
      </c>
      <c r="W865" t="s">
        <v>632</v>
      </c>
      <c r="X865" t="s">
        <v>634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632</v>
      </c>
      <c r="X866" t="s">
        <v>635</v>
      </c>
      <c r="Y866">
        <v>10080</v>
      </c>
    </row>
    <row r="867" spans="22:25" ht="15">
      <c r="V867" t="str">
        <f t="shared" si="13"/>
        <v>Week  &lt;&lt;&lt;&gt;&gt;&gt; Month </v>
      </c>
      <c r="W867" t="s">
        <v>632</v>
      </c>
      <c r="X867" t="s">
        <v>636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632</v>
      </c>
      <c r="X868" t="s">
        <v>637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503</v>
      </c>
      <c r="X869" t="s">
        <v>496</v>
      </c>
      <c r="Y869">
        <v>91.44</v>
      </c>
    </row>
    <row r="870" spans="22:25" ht="15">
      <c r="V870" t="str">
        <f t="shared" si="13"/>
        <v>Yards  &lt;&lt;&lt;&gt;&gt;&gt; fathom </v>
      </c>
      <c r="W870" t="s">
        <v>503</v>
      </c>
      <c r="X870" t="s">
        <v>638</v>
      </c>
      <c r="Y870">
        <v>0.5</v>
      </c>
    </row>
    <row r="871" spans="22:25" ht="15">
      <c r="V871" t="str">
        <f t="shared" si="13"/>
        <v>Yards  &lt;&lt;&lt;&gt;&gt;&gt; Foot </v>
      </c>
      <c r="W871" t="s">
        <v>503</v>
      </c>
      <c r="X871" t="s">
        <v>639</v>
      </c>
      <c r="Y871">
        <v>3</v>
      </c>
    </row>
    <row r="872" spans="22:25" ht="15">
      <c r="V872" t="str">
        <f t="shared" si="13"/>
        <v>Yards  &lt;&lt;&lt;&gt;&gt;&gt; Inches </v>
      </c>
      <c r="W872" t="s">
        <v>503</v>
      </c>
      <c r="X872" t="s">
        <v>498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503</v>
      </c>
      <c r="X873" t="s">
        <v>494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503</v>
      </c>
      <c r="X874" t="s">
        <v>500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503</v>
      </c>
      <c r="X875" t="s">
        <v>537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503</v>
      </c>
      <c r="X876" t="s">
        <v>538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503</v>
      </c>
      <c r="X877" t="s">
        <v>502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640</v>
      </c>
      <c r="X878" t="s">
        <v>633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640</v>
      </c>
      <c r="X879" t="s">
        <v>634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640</v>
      </c>
      <c r="X880" t="s">
        <v>641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640</v>
      </c>
      <c r="X881" t="s">
        <v>637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640</v>
      </c>
      <c r="X882" t="s">
        <v>632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0"/>
  <sheetViews>
    <sheetView showGridLines="0" showRowColHeaders="0" zoomScale="75" zoomScaleNormal="75" zoomScalePageLayoutView="0" workbookViewId="0" topLeftCell="A1">
      <selection activeCell="B5" sqref="B5"/>
    </sheetView>
  </sheetViews>
  <sheetFormatPr defaultColWidth="9.777343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7" max="7" width="9.77734375" style="0" customWidth="1"/>
    <col min="8" max="8" width="10.77734375" style="0" customWidth="1"/>
    <col min="9" max="9" width="5.77734375" style="0" customWidth="1"/>
    <col min="10" max="10" width="9.77734375" style="0" customWidth="1"/>
    <col min="11" max="11" width="10.777343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/>
      <c r="D4" s="149"/>
      <c r="E4" s="76"/>
      <c r="F4" s="18"/>
      <c r="G4" s="38" t="s">
        <v>7</v>
      </c>
      <c r="H4" s="45"/>
      <c r="I4" s="39"/>
      <c r="J4" s="47" t="s">
        <v>8</v>
      </c>
      <c r="K4" s="46"/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0</v>
      </c>
      <c r="I16" s="39"/>
      <c r="J16" s="47" t="s">
        <v>16</v>
      </c>
      <c r="K16" s="48">
        <f>SUM(K4-K8+K11)</f>
        <v>0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0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0</v>
      </c>
      <c r="F20" s="21"/>
      <c r="G20" s="168">
        <f>IF(J19=0,"",IF(J19&lt;0,"Subtract","Add"))</f>
      </c>
      <c r="H20" s="169">
        <f>IF(J19=0,"",J19)</f>
      </c>
      <c r="I20" s="170">
        <f>IF(J19=0,"",IF(J19&lt;0,"from checkbook","to checkbook"))</f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1"/>
  </sheetPr>
  <dimension ref="A1:I510"/>
  <sheetViews>
    <sheetView showGridLines="0" showRowColHeaders="0" zoomScale="71" zoomScaleNormal="71" zoomScalePageLayoutView="0" workbookViewId="0" topLeftCell="A1">
      <pane ySplit="11" topLeftCell="A12" activePane="bottomLeft" state="frozen"/>
      <selection pane="topLeft" activeCell="A1" sqref="A1"/>
      <selection pane="bottomLeft" activeCell="G54" sqref="G54"/>
    </sheetView>
  </sheetViews>
  <sheetFormatPr defaultColWidth="9.777343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/>
      <c r="D3" s="257" t="s">
        <v>23</v>
      </c>
      <c r="E3" s="18"/>
      <c r="F3" s="18"/>
      <c r="G3" s="28">
        <f>IF(C5="","",PMT((C4/12)/100,C5,-C3))</f>
      </c>
      <c r="H3" s="257" t="s">
        <v>24</v>
      </c>
      <c r="I3" s="62"/>
    </row>
    <row r="4" spans="1:9" ht="15">
      <c r="A4" s="63"/>
      <c r="B4" s="259" t="s">
        <v>25</v>
      </c>
      <c r="C4" s="181"/>
      <c r="D4" s="257" t="s">
        <v>26</v>
      </c>
      <c r="E4" s="18"/>
      <c r="F4" s="18"/>
      <c r="G4" s="28">
        <f>IF(C5="","",SUM(G3*C5-C3))</f>
      </c>
      <c r="H4" s="257" t="s">
        <v>27</v>
      </c>
      <c r="I4" s="65"/>
    </row>
    <row r="5" spans="1:9" ht="15">
      <c r="A5" s="63"/>
      <c r="B5" s="311"/>
      <c r="C5" s="3"/>
      <c r="D5" s="257" t="s">
        <v>28</v>
      </c>
      <c r="E5" s="18"/>
      <c r="F5" s="18"/>
      <c r="G5" s="28">
        <f>IF(C5="","",SUM(G3*C5))</f>
      </c>
      <c r="H5" s="257" t="s">
        <v>29</v>
      </c>
      <c r="I5" s="65"/>
    </row>
    <row r="6" spans="1:9" ht="15">
      <c r="A6" s="63"/>
      <c r="B6" s="259" t="s">
        <v>30</v>
      </c>
      <c r="C6" s="188"/>
      <c r="D6" s="258" t="s">
        <v>31</v>
      </c>
      <c r="E6" s="18"/>
      <c r="F6" s="18"/>
      <c r="G6" s="195">
        <f>IF(C5="","",C5/12)</f>
      </c>
      <c r="H6" s="257" t="s">
        <v>32</v>
      </c>
      <c r="I6" s="65"/>
    </row>
    <row r="7" spans="1:9" ht="15">
      <c r="A7" s="61"/>
      <c r="B7" s="259" t="s">
        <v>22</v>
      </c>
      <c r="C7" s="310"/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>
        <f>IF(B12="","","Jan")</f>
      </c>
      <c r="B12">
        <f>IF(C6=1,1,"")</f>
      </c>
      <c r="C12" s="180">
        <f>IF($C$6=1,C3,"")</f>
      </c>
      <c r="D12" s="180">
        <f>IF($C$6=1,$C$3*(($C$4/100)/12),"")</f>
      </c>
      <c r="E12" s="180">
        <f>IF($C$6=1,($C$7+$G$3)-D12,"")</f>
      </c>
      <c r="F12" s="180">
        <f>IF($C$6=1,C12-E12,"")</f>
      </c>
      <c r="G12" s="180">
        <f>E12</f>
      </c>
      <c r="H12" s="180">
        <f>D12</f>
      </c>
    </row>
    <row r="13" spans="1:8" ht="15">
      <c r="A13" s="189">
        <f>IF(B13="","","Feb")</f>
      </c>
      <c r="B13">
        <f>IF(B12=ABS($C$5),"",IF($C$6=2,1,IF(B12="","",IF(F12-$C$7&lt;=0,"",B12+1))))</f>
      </c>
      <c r="C13" s="180">
        <f>IF(B13="","",IF($C$6=2,$C$3,F12))</f>
      </c>
      <c r="D13" s="180">
        <f aca="true" t="shared" si="0" ref="D13:D25">IF(B13="","",C13*(($C$4/100)/12))</f>
      </c>
      <c r="E13" s="180">
        <f aca="true" t="shared" si="1" ref="E13:E76">IF(B13="","",IF(C13+D13&lt;($G$3+$C$7),(C13+D13)-D13,($G$3+$C$7)-D13))</f>
      </c>
      <c r="F13" s="180">
        <f>IF(B13="","",C13-E13)</f>
      </c>
      <c r="G13" s="180">
        <f>IF(B13="","",G12+E13)</f>
      </c>
      <c r="H13" s="180">
        <f aca="true" t="shared" si="2" ref="H13:H76">IF(B13="","",H12+D13)</f>
      </c>
    </row>
    <row r="14" spans="1:8" ht="15">
      <c r="A14" s="189">
        <f>IF(B14="","","Mar")</f>
      </c>
      <c r="B14">
        <f>IF(B13=ABS($C$5),"",IF($C$6=3,1,IF(B13="","",IF(F13-$C$7&lt;=0,"",B13+1))))</f>
      </c>
      <c r="C14" s="180">
        <f>IF(B14="","",IF($C$6=3,$C$3,F13))</f>
      </c>
      <c r="D14" s="180">
        <f t="shared" si="0"/>
      </c>
      <c r="E14" s="180">
        <f t="shared" si="1"/>
      </c>
      <c r="F14" s="180">
        <f aca="true" t="shared" si="3" ref="F14:F29">IF(B14="","",C14-E14)</f>
      </c>
      <c r="G14" s="180">
        <f aca="true" t="shared" si="4" ref="G14:G29">IF(B14="","",G13+E14)</f>
      </c>
      <c r="H14" s="180">
        <f t="shared" si="2"/>
      </c>
    </row>
    <row r="15" spans="1:8" ht="15">
      <c r="A15" s="189">
        <f>IF(B15="","","Apr")</f>
      </c>
      <c r="B15">
        <f>IF(B14=ABS($C$5),"",IF($C$6=4,1,IF(B14="","",IF(F14-$C$7&lt;=0,"",B14+1))))</f>
      </c>
      <c r="C15" s="180">
        <f>IF(B15="","",IF($C$6=4,$C$3,F14))</f>
      </c>
      <c r="D15" s="180">
        <f t="shared" si="0"/>
      </c>
      <c r="E15" s="180">
        <f t="shared" si="1"/>
      </c>
      <c r="F15" s="180">
        <f t="shared" si="3"/>
      </c>
      <c r="G15" s="180">
        <f t="shared" si="4"/>
      </c>
      <c r="H15" s="180">
        <f t="shared" si="2"/>
      </c>
    </row>
    <row r="16" spans="1:8" ht="15">
      <c r="A16" s="189">
        <f>IF(B16="","","May")</f>
      </c>
      <c r="B16">
        <f>IF(B15=ABS($C$5),"",IF($C$6=5,1,IF(B15="","",IF(F15-$C$7&lt;=0,"",B15+1))))</f>
      </c>
      <c r="C16" s="180">
        <f>IF(B16="","",IF($C$6=5,$C$3,F15))</f>
      </c>
      <c r="D16" s="180">
        <f t="shared" si="0"/>
      </c>
      <c r="E16" s="180">
        <f t="shared" si="1"/>
      </c>
      <c r="F16" s="180">
        <f t="shared" si="3"/>
      </c>
      <c r="G16" s="180">
        <f t="shared" si="4"/>
      </c>
      <c r="H16" s="180">
        <f t="shared" si="2"/>
      </c>
    </row>
    <row r="17" spans="1:8" ht="15">
      <c r="A17" s="189">
        <f>IF(B17="","","Jun")</f>
      </c>
      <c r="B17">
        <f>IF(B16=ABS($C$5),"",IF($C$6=6,1,IF(B16="","",IF(F16-$C$7&lt;=0,"",B16+1))))</f>
      </c>
      <c r="C17" s="180">
        <f>IF(B17="","",IF($C$6=6,$C$3,F16))</f>
      </c>
      <c r="D17" s="180">
        <f t="shared" si="0"/>
      </c>
      <c r="E17" s="180">
        <f t="shared" si="1"/>
      </c>
      <c r="F17" s="180">
        <f t="shared" si="3"/>
      </c>
      <c r="G17" s="180">
        <f t="shared" si="4"/>
      </c>
      <c r="H17" s="180">
        <f t="shared" si="2"/>
      </c>
    </row>
    <row r="18" spans="1:8" ht="15">
      <c r="A18" s="189">
        <f>IF(B18="","","Jul")</f>
      </c>
      <c r="B18">
        <f>IF(B17=ABS($C$5),"",IF($C$6=7,1,IF(B17="","",IF(F17-$C$7&lt;=0,"",B17+1))))</f>
      </c>
      <c r="C18" s="180">
        <f>IF(B18="","",IF($C$6=7,$C$3,F17))</f>
      </c>
      <c r="D18" s="180">
        <f t="shared" si="0"/>
      </c>
      <c r="E18" s="180">
        <f t="shared" si="1"/>
      </c>
      <c r="F18" s="180">
        <f t="shared" si="3"/>
      </c>
      <c r="G18" s="180">
        <f t="shared" si="4"/>
      </c>
      <c r="H18" s="180">
        <f t="shared" si="2"/>
      </c>
    </row>
    <row r="19" spans="1:9" ht="15">
      <c r="A19" s="189">
        <f>IF(B19="","","Aug")</f>
      </c>
      <c r="B19">
        <f>IF(B18=ABS($C$5),"",IF($C$6=8,1,IF(B18="","",IF(F18-$C$7&lt;=0,"",B18+1))))</f>
      </c>
      <c r="C19" s="180">
        <f>IF(B19="","",IF($C$6=8,$C$3,F18))</f>
      </c>
      <c r="D19" s="180">
        <f t="shared" si="0"/>
      </c>
      <c r="E19" s="180">
        <f t="shared" si="1"/>
      </c>
      <c r="F19" s="180">
        <f t="shared" si="3"/>
      </c>
      <c r="G19" s="180">
        <f t="shared" si="4"/>
      </c>
      <c r="H19" s="180">
        <f t="shared" si="2"/>
      </c>
      <c r="I19" s="183">
        <f>IF(C6="","","Principle")</f>
      </c>
    </row>
    <row r="20" spans="1:9" ht="15">
      <c r="A20" s="189">
        <f>IF(B20="","","Sep")</f>
      </c>
      <c r="B20">
        <f>IF(B19=ABS($C$5),"",IF($C$6=9,1,IF(B19="","",IF(F19-$C$7&lt;=0,"",B19+1))))</f>
      </c>
      <c r="C20" s="180">
        <f>IF(B20="","",IF($C$6=9,$C$3,F19))</f>
      </c>
      <c r="D20" s="180">
        <f t="shared" si="0"/>
      </c>
      <c r="E20" s="180">
        <f t="shared" si="1"/>
      </c>
      <c r="F20" s="180">
        <f t="shared" si="3"/>
      </c>
      <c r="G20" s="180">
        <f t="shared" si="4"/>
      </c>
      <c r="H20" s="180">
        <f t="shared" si="2"/>
      </c>
      <c r="I20" s="184">
        <f>IF(C6="","",SUM(E12:E23))</f>
      </c>
    </row>
    <row r="21" spans="1:9" ht="15">
      <c r="A21" s="189">
        <f>IF(B21="","","Oct")</f>
      </c>
      <c r="B21">
        <f>IF(B20=ABS($C$5),"",IF($C$6=10,1,IF(B20="","",IF(F20-$C$7&lt;=0,"",B20+1))))</f>
      </c>
      <c r="C21" s="180">
        <f>IF(B21="","",IF($C$6=10,$C$3,F20))</f>
      </c>
      <c r="D21" s="180">
        <f t="shared" si="0"/>
      </c>
      <c r="E21" s="180">
        <f t="shared" si="1"/>
      </c>
      <c r="F21" s="180">
        <f t="shared" si="3"/>
      </c>
      <c r="G21" s="180">
        <f t="shared" si="4"/>
      </c>
      <c r="H21" s="180">
        <f t="shared" si="2"/>
      </c>
      <c r="I21" s="183">
        <f>IF(C6="","","Interest")</f>
      </c>
    </row>
    <row r="22" spans="1:9" ht="15">
      <c r="A22" s="189">
        <f>IF(B22="","","Nov")</f>
      </c>
      <c r="B22">
        <f>IF(B21=ABS($C$5),"",IF($C$6=11,1,IF(B21="","",IF(F21-$C$7&lt;=0,"",B21+1))))</f>
      </c>
      <c r="C22" s="180">
        <f>IF(B22="","",IF($C$6=11,$C$3,F21))</f>
      </c>
      <c r="D22" s="180">
        <f t="shared" si="0"/>
      </c>
      <c r="E22" s="180">
        <f t="shared" si="1"/>
      </c>
      <c r="F22" s="180">
        <f t="shared" si="3"/>
      </c>
      <c r="G22" s="180">
        <f t="shared" si="4"/>
      </c>
      <c r="H22" s="180">
        <f t="shared" si="2"/>
      </c>
      <c r="I22" s="184">
        <f>IF(C6="","",SUM(D12:D23))</f>
      </c>
    </row>
    <row r="23" spans="1:9" ht="15">
      <c r="A23" s="190">
        <f>IF(B23="","","Dec")</f>
      </c>
      <c r="B23" s="185">
        <f>IF(B22=ABS($C$5),"",IF($C$6=12,1,IF(B22="","",IF(F22-$C$7&lt;=0,"",B22+1))))</f>
      </c>
      <c r="C23" s="186">
        <f>IF(B23="","",IF($C$6=12,$C$3,F22))</f>
      </c>
      <c r="D23" s="186">
        <f t="shared" si="0"/>
      </c>
      <c r="E23" s="186">
        <f t="shared" si="1"/>
      </c>
      <c r="F23" s="186">
        <f t="shared" si="3"/>
      </c>
      <c r="G23" s="186">
        <f t="shared" si="4"/>
      </c>
      <c r="H23" s="186">
        <f t="shared" si="2"/>
      </c>
      <c r="I23" s="187">
        <f>IF(C6="","","End of year 1")</f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K20"/>
  <sheetViews>
    <sheetView showGridLines="0" showRowColHeaders="0" zoomScalePageLayoutView="0" workbookViewId="0" topLeftCell="A1">
      <selection activeCell="D5" sqref="D5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>
        <v>121</v>
      </c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>
        <v>63</v>
      </c>
      <c r="E4" s="85"/>
      <c r="F4" s="85"/>
      <c r="G4" s="85"/>
      <c r="H4" s="85"/>
      <c r="I4" s="85"/>
      <c r="J4" s="91"/>
      <c r="K4" s="83">
        <v>1</v>
      </c>
    </row>
    <row r="5" spans="2:11" ht="12.75">
      <c r="B5" s="89"/>
      <c r="C5" s="86" t="s">
        <v>49</v>
      </c>
      <c r="D5" s="148">
        <v>24</v>
      </c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1.2</v>
      </c>
    </row>
    <row r="6" spans="2:10" ht="12.75">
      <c r="B6" s="89"/>
      <c r="C6" s="85"/>
      <c r="D6" s="85"/>
      <c r="E6" s="85"/>
      <c r="F6" s="88">
        <f>IF(D5="","",(((D3*4.3)+(D4*4.3)+655)-D5*4.7)*K5)</f>
        <v>1600.0799999999997</v>
      </c>
      <c r="G6" s="85"/>
      <c r="H6" s="88">
        <f>IF(D5="","",(((D3*6.2)+(D4*12.7)+65)-D5*6.8)*K5)</f>
        <v>1742.5199999999998</v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 t="str">
        <f>IF(D3="","","Approximate daily calorie intake to")</f>
        <v>Approximate daily calorie intake to</v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 t="str">
        <f>IF(D3="","",CONCATENATE("maintain a weight of ",D3," pounds."))</f>
        <v>maintain a weight of 121 pounds.</v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 t="str">
        <f>IF(D4="","","Your body mass index is")</f>
        <v>Your body mass index is</v>
      </c>
      <c r="I12" s="88">
        <f>IF(D4="","",(D3*0.45)/((D4*0.0254)^2))</f>
        <v>21.264214864030638</v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 t="str">
        <f>IF(D4="","","Your maximum weight should be")</f>
        <v>Your maximum weight should be</v>
      </c>
      <c r="I13" s="88">
        <f>IF(D4="","",(((D4*0.0254)^2)/0.45)*25)</f>
        <v>142.25777999999997</v>
      </c>
      <c r="J13" s="316" t="str">
        <f>IF(D4="","","pounds")</f>
        <v>pounds</v>
      </c>
    </row>
    <row r="14" spans="1:10" ht="12.75">
      <c r="A14" s="84"/>
      <c r="B14" s="90"/>
      <c r="C14" s="87"/>
      <c r="D14" s="85"/>
      <c r="E14" s="87"/>
      <c r="F14" s="85"/>
      <c r="G14" s="85"/>
      <c r="H14" s="315" t="str">
        <f>IF(D4="","","Your minimum weight should be")</f>
        <v>Your minimum weight should be</v>
      </c>
      <c r="I14" s="88">
        <f>IF(D4="","",(((D4*0.0254)^2)/0.45)*20)</f>
        <v>113.80622399999999</v>
      </c>
      <c r="J14" s="316" t="str">
        <f>IF(D4="","","pounds")</f>
        <v>pounds</v>
      </c>
    </row>
    <row r="15" spans="2:10" ht="15.75" customHeight="1" thickBot="1">
      <c r="B15" s="318"/>
      <c r="C15" s="319" t="str">
        <f>IF(D3="","","Your target body mass index should be 20 to 25.  Over 30 is considered obese.")</f>
        <v>Your target body mass index should be 20 to 25.  Over 30 is considered obese.</v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60"/>
  <sheetViews>
    <sheetView showGridLines="0" showRowColHeaders="0" zoomScalePageLayoutView="0" workbookViewId="0" topLeftCell="A1">
      <selection activeCell="F5" sqref="F5"/>
    </sheetView>
  </sheetViews>
  <sheetFormatPr defaultColWidth="7.10546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673</v>
      </c>
      <c r="C1" s="660"/>
      <c r="D1" s="660"/>
      <c r="E1" s="660"/>
      <c r="F1" s="660"/>
      <c r="G1" s="463"/>
      <c r="H1" s="463"/>
      <c r="I1" s="464" t="s">
        <v>674</v>
      </c>
      <c r="J1" s="465" t="s">
        <v>675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676</v>
      </c>
    </row>
    <row r="3" spans="4:10" ht="13.5" thickBot="1">
      <c r="D3" s="467" t="s">
        <v>677</v>
      </c>
      <c r="E3" s="468"/>
      <c r="G3" s="469" t="s">
        <v>682</v>
      </c>
      <c r="I3" s="464" t="s">
        <v>678</v>
      </c>
      <c r="J3" s="465" t="s">
        <v>679</v>
      </c>
    </row>
    <row r="4" spans="2:7" ht="13.5" thickBot="1">
      <c r="B4" s="470" t="s">
        <v>680</v>
      </c>
      <c r="C4" s="470" t="s">
        <v>681</v>
      </c>
      <c r="D4" s="470" t="s">
        <v>674</v>
      </c>
      <c r="E4" s="470" t="s">
        <v>678</v>
      </c>
      <c r="F4" s="471" t="s">
        <v>682</v>
      </c>
      <c r="G4" s="472" t="s">
        <v>692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683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674</v>
      </c>
      <c r="L55" s="496" t="s">
        <v>678</v>
      </c>
    </row>
    <row r="56" spans="3:15" ht="12.75">
      <c r="C56" s="461" t="s">
        <v>684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685</v>
      </c>
      <c r="J56" s="500" t="s">
        <v>686</v>
      </c>
      <c r="K56" s="501"/>
      <c r="L56" s="502" t="s">
        <v>687</v>
      </c>
      <c r="M56" s="503"/>
      <c r="O56" s="469" t="s">
        <v>699</v>
      </c>
    </row>
    <row r="57" spans="3:15" ht="12.75">
      <c r="C57" s="461" t="s">
        <v>688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689</v>
      </c>
      <c r="J57" s="504" t="s">
        <v>690</v>
      </c>
      <c r="K57" s="505"/>
      <c r="L57" s="506" t="s">
        <v>691</v>
      </c>
      <c r="M57" s="507"/>
      <c r="O57" s="508" t="s">
        <v>692</v>
      </c>
    </row>
    <row r="58" spans="3:15" ht="13.5" thickBot="1">
      <c r="C58" s="461" t="s">
        <v>693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694</v>
      </c>
      <c r="J58" s="513" t="s">
        <v>695</v>
      </c>
      <c r="K58" s="462"/>
      <c r="L58" s="514" t="s">
        <v>696</v>
      </c>
      <c r="M58" s="515"/>
      <c r="O58" s="516">
        <f>IF(SUM(D5:E54)=0,"",D58-E58)</f>
      </c>
    </row>
    <row r="59" spans="3:9" ht="13.5" thickBot="1">
      <c r="C59" s="461" t="s">
        <v>697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698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B1:I20"/>
  <sheetViews>
    <sheetView showGridLines="0" showRowColHeaders="0" zoomScale="75" zoomScaleNormal="75" zoomScalePageLayoutView="0" workbookViewId="0" topLeftCell="A1">
      <selection activeCell="B3" sqref="B3"/>
    </sheetView>
  </sheetViews>
  <sheetFormatPr defaultColWidth="9.777343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/>
      <c r="C3" s="15" t="s">
        <v>55</v>
      </c>
      <c r="D3" s="16">
        <f>IF(B3="","",+B3/25.4)</f>
      </c>
      <c r="E3" s="5" t="s">
        <v>56</v>
      </c>
      <c r="F3" s="3"/>
      <c r="G3" s="15" t="s">
        <v>57</v>
      </c>
      <c r="H3" s="16">
        <f>IF(F3="","",+F3*25.4)</f>
      </c>
      <c r="I3" s="17" t="s">
        <v>58</v>
      </c>
    </row>
    <row r="4" spans="2:9" ht="15">
      <c r="B4" s="14"/>
      <c r="C4" s="15" t="s">
        <v>59</v>
      </c>
      <c r="D4" s="16">
        <f>IF(B4="","",+B4/2.54)</f>
      </c>
      <c r="E4" s="5" t="s">
        <v>56</v>
      </c>
      <c r="F4" s="3"/>
      <c r="G4" s="15" t="s">
        <v>57</v>
      </c>
      <c r="H4" s="16">
        <f>IF(F4="","",+F4*2.54)</f>
      </c>
      <c r="I4" s="17" t="s">
        <v>60</v>
      </c>
    </row>
    <row r="5" spans="2:9" ht="15">
      <c r="B5" s="14"/>
      <c r="C5" s="15" t="s">
        <v>61</v>
      </c>
      <c r="D5" s="18">
        <f>IF(B5="","",SUM(B5/0.3048))</f>
      </c>
      <c r="E5" s="5" t="s">
        <v>62</v>
      </c>
      <c r="F5" s="3"/>
      <c r="G5" s="15" t="s">
        <v>63</v>
      </c>
      <c r="H5" s="18">
        <f>IF(F5="","",SUM(F5*0.3048))</f>
      </c>
      <c r="I5" s="17" t="s">
        <v>64</v>
      </c>
    </row>
    <row r="6" spans="2:9" ht="15">
      <c r="B6" s="14"/>
      <c r="C6" s="15" t="s">
        <v>61</v>
      </c>
      <c r="D6" s="18">
        <f>IF(B6="","",SUM(B6/0.9144))</f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/>
      <c r="G8" s="15" t="s">
        <v>73</v>
      </c>
      <c r="H8" s="16">
        <f>IF(ISBLANK(F8),"",(5/9)*(F8-32))</f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/>
      <c r="C10" s="15" t="s">
        <v>79</v>
      </c>
      <c r="D10" s="18">
        <f>IF(B10="","",B10/0.4535924)</f>
      </c>
      <c r="E10" s="5" t="s">
        <v>80</v>
      </c>
      <c r="F10" s="3"/>
      <c r="G10" s="15" t="s">
        <v>81</v>
      </c>
      <c r="H10" s="18">
        <f>IF(F10="","",F10*0.4535924)</f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/>
      <c r="C20" s="21" t="s">
        <v>89</v>
      </c>
      <c r="D20" s="21">
        <f>IF(B20="","",+B20*0.0174532925199433)</f>
      </c>
      <c r="E20" s="22" t="s">
        <v>90</v>
      </c>
      <c r="F20" s="23"/>
      <c r="G20" s="21" t="s">
        <v>91</v>
      </c>
      <c r="H20" s="21">
        <f>IF(F20="","",+F20/0.0174532925199433)</f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7" sqref="B7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>
        <f>IF(B6="","Select the desired conversion from the drop down list above.","")</f>
      </c>
    </row>
    <row r="6" spans="2:3" ht="15">
      <c r="B6" s="382">
        <v>55</v>
      </c>
      <c r="C6" s="362" t="str">
        <f>IF(B6="","Enter the amount to convert in the white cell to the left.",Data!S26)</f>
        <v>Kilograms </v>
      </c>
    </row>
    <row r="7" spans="2:3" ht="15">
      <c r="B7" s="381" t="str">
        <f>IF(B6="","","x  "&amp;Data!S28)</f>
        <v>x  2.205</v>
      </c>
      <c r="C7" s="362" t="str">
        <f>IF(B6="","The multiplier will automatically appear here.","is the multiplier")</f>
        <v>is the multiplier</v>
      </c>
    </row>
    <row r="8" spans="2:3" ht="15">
      <c r="B8" s="383">
        <f>Data!S29</f>
        <v>121.275</v>
      </c>
      <c r="C8" s="362" t="str">
        <f>IF(B6="","This is where the conversion is calculated.",Data!S27)</f>
        <v>Pounds 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B1:I21"/>
  <sheetViews>
    <sheetView showGridLines="0" showRowColHeaders="0" zoomScale="74" zoomScaleNormal="74" zoomScalePageLayoutView="0" workbookViewId="0" topLeftCell="A1">
      <selection activeCell="P50" sqref="P50"/>
    </sheetView>
  </sheetViews>
  <sheetFormatPr defaultColWidth="9.777343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0" max="10" width="9.77734375" style="0" customWidth="1"/>
    <col min="11" max="11" width="8.777343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/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</c>
      <c r="H5" s="175">
        <f>IF(OR(C5="",C6=""),"",ATAN(SUM(C6/C5))*180/PI())</f>
      </c>
      <c r="I5" s="173">
        <f>IF(OR(C5="",C6=""),"",SUM(90-H5))</f>
      </c>
    </row>
    <row r="6" spans="2:9" ht="15">
      <c r="B6" s="64" t="s">
        <v>104</v>
      </c>
      <c r="C6" s="3"/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6</v>
      </c>
      <c r="F14" s="116" t="s">
        <v>90</v>
      </c>
      <c r="G14" s="3">
        <v>6</v>
      </c>
      <c r="H14" s="117">
        <f>IF(G14+G15+G16="","",TRUNC(E14))</f>
        <v>6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6.416666666666667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Norman May (ncmay@yahoo.com)</dc:creator>
  <cp:keywords/>
  <dc:description>Enter the required information to obtain a solution to an assortment of mathematical problems.
Updated 8/6/03</dc:description>
  <cp:lastModifiedBy>Faisal</cp:lastModifiedBy>
  <cp:lastPrinted>2006-01-11T01:28:40Z</cp:lastPrinted>
  <dcterms:created xsi:type="dcterms:W3CDTF">2001-02-11T20:27:08Z</dcterms:created>
  <dcterms:modified xsi:type="dcterms:W3CDTF">2012-01-25T15:26:59Z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